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Instrucciones" sheetId="1" state="visible" r:id="rId1"/>
    <sheet xmlns:r="http://schemas.openxmlformats.org/officeDocument/2006/relationships" name="Tarifa" sheetId="2" state="visible" r:id="rId2"/>
    <sheet xmlns:r="http://schemas.openxmlformats.org/officeDocument/2006/relationships" name="Para enviar" sheetId="3" state="visible" r:id="rId3"/>
  </sheets>
  <definedNames>
    <definedName name="_xlnm.Print_Area" localSheetId="1">OFFSET(Tarifa!$A$1,0,0,12+IFERROR(MATCH(MAX(Tarifa!$O$13:$O$512),Tarifa!$O$13:$O$512,0),0),14)</definedName>
    <definedName name="_xlnm._FilterDatabase" localSheetId="1" hidden="1">'Tarifa'!$A$12:$H$512</definedName>
    <definedName name="_xlnm.Print_Titles" localSheetId="1">'Tarifa'!$12:$12</definedName>
    <definedName name="_xlnm.Print_Area" localSheetId="2">OFFSET('Para enviar'!$A$1,0,0,10+COUNT('Para enviar'!$J$11:$J$510),9)</definedName>
    <definedName name="_xlnm.Print_Titles" localSheetId="2">'Para enviar'!$10:$10</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00&quot; €&quot;"/>
    <numFmt numFmtId="167" formatCode="#,##0.000&quot; €&quot;"/>
  </numFmts>
  <fonts count="15">
    <font>
      <name val="Calibri"/>
      <family val="2"/>
      <color theme="1"/>
      <sz val="11"/>
      <scheme val="minor"/>
    </font>
    <font>
      <name val="Arial"/>
      <b val="1"/>
      <color rgb="000E1A1E"/>
      <sz val="18"/>
    </font>
    <font>
      <name val="Arial"/>
      <b val="1"/>
      <color rgb="000E1A1E"/>
      <sz val="9"/>
    </font>
    <font>
      <name val="Arial"/>
      <b val="1"/>
      <color rgb="000E1A1E"/>
      <sz val="10"/>
    </font>
    <font>
      <name val="Arial"/>
      <color rgb="00637371"/>
      <sz val="9"/>
    </font>
    <font>
      <name val="Arial"/>
      <color rgb="000E1A1E"/>
      <sz val="9"/>
    </font>
    <font>
      <name val="Arial"/>
      <b val="1"/>
      <color rgb="00FFFFFF"/>
      <sz val="9"/>
    </font>
    <font>
      <name val="Arial"/>
      <b val="1"/>
      <color rgb="00B42318"/>
      <sz val="9"/>
    </font>
    <font>
      <name val="Arial"/>
      <color rgb="000E1A1E"/>
      <sz val="10"/>
    </font>
    <font>
      <name val="Arial"/>
      <b val="1"/>
      <color rgb="0000854A"/>
      <sz val="11"/>
    </font>
    <font>
      <name val="Arial"/>
      <i val="1"/>
      <color rgb="00637371"/>
      <sz val="8"/>
    </font>
    <font>
      <name val="Arial"/>
      <b val="1"/>
      <color rgb="0000854A"/>
      <sz val="10"/>
    </font>
    <font>
      <name val="Arial"/>
      <b val="1"/>
      <color rgb="00B42318"/>
      <sz val="8"/>
    </font>
    <font>
      <name val="Arial"/>
      <b val="1"/>
      <color rgb="000E1A1E"/>
      <sz val="12"/>
    </font>
    <font>
      <name val="Arial"/>
      <color rgb="003D4B4A"/>
      <sz val="10"/>
    </font>
  </fonts>
  <fills count="6">
    <fill>
      <patternFill/>
    </fill>
    <fill>
      <patternFill patternType="gray125"/>
    </fill>
    <fill>
      <patternFill patternType="solid">
        <fgColor rgb="00F5F8F7"/>
      </patternFill>
    </fill>
    <fill>
      <patternFill patternType="solid">
        <fgColor rgb="0000854A"/>
      </patternFill>
    </fill>
    <fill>
      <patternFill patternType="solid">
        <fgColor rgb="00637371"/>
      </patternFill>
    </fill>
    <fill>
      <patternFill patternType="solid">
        <fgColor rgb="00F2FAF6"/>
      </patternFill>
    </fill>
  </fills>
  <borders count="2">
    <border>
      <left/>
      <right/>
      <top/>
      <bottom/>
      <diagonal/>
    </border>
    <border>
      <left style="thin">
        <color rgb="00D5DEDB"/>
      </left>
      <right style="thin">
        <color rgb="00D5DEDB"/>
      </right>
      <top style="thin">
        <color rgb="00D5DEDB"/>
      </top>
      <bottom style="thin">
        <color rgb="00D5DEDB"/>
      </bottom>
    </border>
  </borders>
  <cellStyleXfs count="1">
    <xf numFmtId="0" fontId="0" fillId="0" borderId="0"/>
  </cellStyleXfs>
  <cellXfs count="44">
    <xf numFmtId="0" fontId="0" fillId="0" borderId="0" pivotButton="0" quotePrefix="0" xfId="0"/>
    <xf numFmtId="0" fontId="13" fillId="0" borderId="0" applyAlignment="1" pivotButton="0" quotePrefix="0" xfId="0">
      <alignment vertical="top" wrapText="1"/>
    </xf>
    <xf numFmtId="0" fontId="14"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2" fillId="2" borderId="1" applyAlignment="1" pivotButton="0" quotePrefix="0" xfId="0">
      <alignment vertical="center" wrapText="1"/>
    </xf>
    <xf numFmtId="165" fontId="3" fillId="0" borderId="1" applyAlignment="1" applyProtection="1" pivotButton="0" quotePrefix="0" xfId="0">
      <alignment horizontal="center" vertical="center"/>
      <protection locked="0" hidden="0"/>
    </xf>
    <xf numFmtId="0" fontId="0" fillId="0" borderId="1" applyProtection="1" pivotButton="0" quotePrefix="0" xfId="0">
      <protection locked="0" hidden="0"/>
    </xf>
    <xf numFmtId="0" fontId="2" fillId="2" borderId="1" applyAlignment="1" pivotButton="0" quotePrefix="0" xfId="0">
      <alignment horizontal="right" vertical="center"/>
    </xf>
    <xf numFmtId="0" fontId="3" fillId="0" borderId="0" applyProtection="1" pivotButton="0" quotePrefix="0" xfId="0">
      <protection locked="0" hidden="0"/>
    </xf>
    <xf numFmtId="0" fontId="4" fillId="0" borderId="0" applyProtection="1" pivotButton="0" quotePrefix="0" xfId="0">
      <protection locked="0" hidden="0"/>
    </xf>
    <xf numFmtId="0" fontId="3" fillId="0" borderId="0" pivotButton="0" quotePrefix="0" xfId="0"/>
    <xf numFmtId="0" fontId="5" fillId="0" borderId="1" applyAlignment="1" applyProtection="1" pivotButton="0" quotePrefix="0" xfId="0">
      <alignment vertical="center" wrapText="1"/>
      <protection locked="0" hidden="0"/>
    </xf>
    <xf numFmtId="0" fontId="6" fillId="3" borderId="1" applyAlignment="1" pivotButton="0" quotePrefix="0" xfId="0">
      <alignment horizontal="center" vertical="center" wrapText="1"/>
    </xf>
    <xf numFmtId="0" fontId="0" fillId="3" borderId="1" pivotButton="0" quotePrefix="0" xfId="0"/>
    <xf numFmtId="0" fontId="0" fillId="2" borderId="1" pivotButton="0" quotePrefix="0" xfId="0"/>
    <xf numFmtId="0" fontId="2" fillId="2" borderId="1" applyAlignment="1" pivotButton="0" quotePrefix="0" xfId="0">
      <alignment horizontal="center" vertical="center"/>
    </xf>
    <xf numFmtId="0" fontId="3" fillId="0" borderId="1" applyAlignment="1" applyProtection="1" pivotButton="0" quotePrefix="0" xfId="0">
      <alignment horizontal="center" vertical="center"/>
      <protection locked="0" hidden="0"/>
    </xf>
    <xf numFmtId="0" fontId="3" fillId="0" borderId="1" applyAlignment="1" applyProtection="1" pivotButton="0" quotePrefix="0" xfId="0">
      <alignment vertical="center" wrapText="1"/>
      <protection locked="0" hidden="0"/>
    </xf>
    <xf numFmtId="0" fontId="7" fillId="0" borderId="0" applyAlignment="1" pivotButton="0" quotePrefix="0" xfId="0">
      <alignment vertical="center" wrapText="1"/>
    </xf>
    <xf numFmtId="0" fontId="6" fillId="4" borderId="1" applyAlignment="1" pivotButton="0" quotePrefix="0" xfId="0">
      <alignment horizontal="center" vertical="center" wrapText="1"/>
    </xf>
    <xf numFmtId="0" fontId="8" fillId="0" borderId="1" applyProtection="1" pivotButton="0" quotePrefix="0" xfId="0">
      <protection locked="0" hidden="0"/>
    </xf>
    <xf numFmtId="0" fontId="8" fillId="0" borderId="1" applyAlignment="1" applyProtection="1" pivotButton="0" quotePrefix="0" xfId="0">
      <alignment horizontal="right"/>
      <protection locked="0" hidden="0"/>
    </xf>
    <xf numFmtId="49" fontId="8" fillId="0" borderId="1" applyProtection="1" pivotButton="0" quotePrefix="0" xfId="0">
      <protection locked="0" hidden="0"/>
    </xf>
    <xf numFmtId="166" fontId="8" fillId="0" borderId="1" applyProtection="1" pivotButton="0" quotePrefix="0" xfId="0">
      <protection locked="0" hidden="0"/>
    </xf>
    <xf numFmtId="0" fontId="8" fillId="0" borderId="1" applyAlignment="1" applyProtection="1" pivotButton="0" quotePrefix="0" xfId="0">
      <alignment horizontal="center"/>
      <protection locked="0" hidden="0"/>
    </xf>
    <xf numFmtId="167" fontId="8" fillId="2" borderId="1" applyAlignment="1" pivotButton="0" quotePrefix="0" xfId="0">
      <alignment horizontal="right"/>
    </xf>
    <xf numFmtId="166" fontId="8" fillId="2" borderId="1" applyAlignment="1" pivotButton="0" quotePrefix="0" xfId="0">
      <alignment horizontal="right"/>
    </xf>
    <xf numFmtId="165" fontId="3" fillId="0" borderId="1" applyAlignment="1" pivotButton="0" quotePrefix="0" xfId="0">
      <alignment horizontal="center" vertical="center"/>
    </xf>
    <xf numFmtId="0" fontId="0" fillId="0" borderId="1" pivotButton="0" quotePrefix="0" xfId="0"/>
    <xf numFmtId="0" fontId="3" fillId="5" borderId="1" applyAlignment="1" applyProtection="1" pivotButton="0" quotePrefix="0" xfId="0">
      <alignment vertical="center"/>
      <protection locked="0" hidden="0"/>
    </xf>
    <xf numFmtId="0" fontId="4" fillId="0" borderId="0" pivotButton="0" quotePrefix="0" xfId="0"/>
    <xf numFmtId="0" fontId="9" fillId="0" borderId="0" pivotButton="0" quotePrefix="0" xfId="0"/>
    <xf numFmtId="0" fontId="5" fillId="0" borderId="1" applyAlignment="1" pivotButton="0" quotePrefix="0" xfId="0">
      <alignment vertical="center" wrapText="1"/>
    </xf>
    <xf numFmtId="0" fontId="10" fillId="0" borderId="0" applyAlignment="1" pivotButton="0" quotePrefix="0" xfId="0">
      <alignment vertical="top" wrapText="1"/>
    </xf>
    <xf numFmtId="0" fontId="3" fillId="0" borderId="1" applyAlignment="1" pivotButton="0" quotePrefix="0" xfId="0">
      <alignment horizontal="center" vertical="center"/>
    </xf>
    <xf numFmtId="0" fontId="10" fillId="0" borderId="0" applyAlignment="1" pivotButton="0" quotePrefix="0" xfId="0">
      <alignment vertical="bottom"/>
    </xf>
    <xf numFmtId="0" fontId="12" fillId="0" borderId="0" applyAlignment="1" pivotButton="0" quotePrefix="0" xfId="0">
      <alignment vertical="top" wrapText="1"/>
    </xf>
    <xf numFmtId="0" fontId="11" fillId="0" borderId="0" pivotButton="0" quotePrefix="0" xfId="0"/>
    <xf numFmtId="0" fontId="8" fillId="0" borderId="0" pivotButton="0" quotePrefix="0" xfId="0"/>
    <xf numFmtId="0" fontId="8" fillId="0" borderId="0" applyAlignment="1" pivotButton="0" quotePrefix="0" xfId="0">
      <alignment horizontal="right"/>
    </xf>
    <xf numFmtId="166" fontId="8" fillId="0" borderId="0" applyAlignment="1" pivotButton="0" quotePrefix="0" xfId="0">
      <alignment horizontal="right"/>
    </xf>
    <xf numFmtId="167" fontId="8" fillId="0" borderId="0" applyAlignment="1" pivotButton="0" quotePrefix="0" xfId="0">
      <alignment horizontal="right"/>
    </xf>
    <xf numFmtId="0" fontId="8" fillId="0" borderId="0" applyAlignment="1" pivotButton="0" quotePrefix="0" xfId="0">
      <alignment horizontal="center"/>
    </xf>
  </cellXfs>
  <cellStyles count="1">
    <cellStyle name="Normal" xfId="0" builtinId="0" hidden="0"/>
  </cellStyles>
  <dxfs count="3">
    <dxf>
      <fill>
        <patternFill patternType="solid">
          <fgColor rgb="00FDE7E5"/>
        </patternFill>
      </fill>
    </dxf>
    <dxf>
      <font>
        <b val="1"/>
        <color rgb="00B42318"/>
      </font>
    </dxf>
    <dxf>
      <border>
        <left style="thin">
          <color rgb="00D5DEDB"/>
        </left>
        <right style="thin">
          <color rgb="00D5DEDB"/>
        </right>
        <top style="thin">
          <color rgb="00D5DEDB"/>
        </top>
        <bottom style="thin">
          <color rgb="00D5DEDB"/>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7"/>
  <sheetViews>
    <sheetView showGridLines="0" tabSelected="0" workbookViewId="0">
      <selection activeCell="A1" sqref="A1"/>
    </sheetView>
  </sheetViews>
  <sheetFormatPr baseColWidth="8" defaultRowHeight="15"/>
  <cols>
    <col width="104" customWidth="1" min="1" max="1"/>
  </cols>
  <sheetData>
    <row r="1">
      <c r="A1" s="1" t="inlineStr">
        <is>
          <t>Cómo usar esta tarifa de precios</t>
        </is>
      </c>
    </row>
    <row r="2">
      <c r="A2" s="2" t="inlineStr">
        <is>
          <t>Tres hojas: «Tarifa», tu hoja de trabajo, con todos tus artículos y tus tres tarifas (no la mandes: lleva todos tus precios); «Para enviar», la lista que guardas en PDF para cada cliente; y estas instrucciones.</t>
        </is>
      </c>
    </row>
    <row r="3">
      <c r="A3" s="2" t="inlineStr"/>
    </row>
    <row r="4">
      <c r="A4" s="3" t="inlineStr">
        <is>
          <t>Una sola vez, en la hoja «Tarifa»</t>
        </is>
      </c>
    </row>
    <row r="5">
      <c r="A5" s="2" t="inlineStr">
        <is>
          <t>1. Arriba, cambia las dos líneas de tus datos: nombre, NIF, dirección, teléfono, email y web.</t>
        </is>
      </c>
    </row>
    <row r="6">
      <c r="A6" s="2" t="inlineStr">
        <is>
          <t>2. Pon las fechas de validez («Válida desde» y «hasta») y tus condiciones: portes, pedido mínimo, forma de pago y observaciones. Salen tal cual en la lista que mandas.</t>
        </is>
      </c>
    </row>
    <row r="7">
      <c r="A7" s="2" t="inlineStr">
        <is>
          <t>3. Borra los 12 artículos de ejemplo: selecciona sus celdas, de A13 a H24, y haz clic derecho &gt; Borrar contenido. No elimines las filas.</t>
        </is>
      </c>
    </row>
    <row r="8">
      <c r="A8" s="2" t="inlineStr">
        <is>
          <t>4. Escribe o pega los tuyos desde la fila 13, uno por fila, en este orden: A Código (el de tu programa de gestión) · B Descripción, con el tamaño («Cerveza rubia, tercio 33 cl») · C Formato: cómo lo vendes; elígelo de la lista (Caja, Pack, Unidad, Barril, Garrafa, Bandeja, Saco o Kg) o, si el tuyo no está, escríbelo · D Uds. por caja o pack (1 si lo vendes suelto, por barril o por kilo) · E Familia (cervezas, aguas…) · F EAN, el código de barras (opcional) · G Precio base sin IVA de una caja o formato · H IVA % (21, 10 o 4). Caben 500.</t>
        </is>
      </c>
    </row>
    <row r="9">
      <c r="A9" s="2" t="inlineStr">
        <is>
          <t xml:space="preserve">   Si los copias de tu programa de gestión o de otro Excel, pega columna a columna y solo los valores: clic derecho &gt; Opciones de pegado &gt; Valores. Pega solo en las columnas A a H.</t>
        </is>
      </c>
    </row>
    <row r="10">
      <c r="A10" s="2" t="inlineStr">
        <is>
          <t>5. Las columnas I a N salen solas: el precio base por unidad, el precio base con IVA, el precio base con IVA y recargo de equivalencia, y el precio de tus tres tarifas, sin IVA. El precio con IVA de cada tarifa lo ves en «Para enviar», al elegir la tarifa. Si pones 1 en «Uds. por caja o pack», el precio por unidad se queda vacío: sería el mismo precio.</t>
        </is>
      </c>
    </row>
    <row r="11">
      <c r="A11" s="2" t="inlineStr">
        <is>
          <t>6. Pon el nombre y el % de tus tres tarifas. El % se aplica al precio base: -5 es un 5 % menos; 3, un 3 % más; 0, el mismo precio. Escribe el número sin el signo %, y el signo menos con el guion del teclado.</t>
        </is>
      </c>
    </row>
    <row r="12">
      <c r="A12" s="2" t="inlineStr">
        <is>
          <t>7. Elige el redondeo de las tarifas: al céntimo, o a los 5 o 10 céntimos más cercanos. A 5 céntimos, 18,43 € pasa a 18,45 €, y 18,42 €, a 18,40 €.</t>
        </is>
      </c>
    </row>
    <row r="13">
      <c r="A13" s="2" t="inlineStr">
        <is>
          <t>8. Ordena tus artículos por familia. Si no, la misma familia sale varias veces como título en «Para enviar». Selecciona de A13 a H512 y ve a Datos &gt; Ordenar, por la columna E (Familia). En el cuadro «Ordenar», desmarca «Mis datos tienen encabezados» si está marcada: la fila 13 ya es un artículo. Si Excel te avisa de que hay datos junto a tu selección, sigue solo con tu selección: elige «Continuar con la selección actual» o, si te pregunta «¿Desea continuar con la selección actual?», contesta que sí. También puedes usar la flecha de «Familia», en la fila 12. No hace falta desproteger la hoja: se ordenan solo las columnas A a H, y las fórmulas se quedan en su sitio.</t>
        </is>
      </c>
    </row>
    <row r="14">
      <c r="A14" s="2" t="inlineStr"/>
    </row>
    <row r="15">
      <c r="A15" s="3" t="inlineStr">
        <is>
          <t>Para cada cliente, en la hoja «Para enviar»</t>
        </is>
      </c>
    </row>
    <row r="16">
      <c r="A16" s="2" t="inlineStr">
        <is>
          <t>1. A la derecha, en «Elige aquí»: la tarifa del cliente (el precio base o una de tus tres tarifas); si añades el precio con IVA o con IVA y recargo; y, en «Cliente (opcional)», su nombre, si quieres que salga arriba.</t>
        </is>
      </c>
    </row>
    <row r="17">
      <c r="A17" s="2" t="inlineStr">
        <is>
          <t>2. «Con IVA y recargo» es para las tiendas en recargo de equivalencia. Lo llevan los comerciantes minoristas personas físicas o comunidades de bienes que revenden sin transformar. Además, el año anterior vendieron más del 80 % a particulares (Ley del IVA, arts. 148 y 149). Hay excepciones: confírmalo con tu asesor. Es decir: tiendas de un autónomo, o de varios dueños sin formar una sociedad (una comunidad de bienes), que venden tal cual lo que te compran. Nunca una sociedad mercantil, como una SL o una SA (art. 156). A un bar o un restaurante, en general, no: lo que hace es dar un servicio, no revender (Ley del IVA, art. 11.Dos.9.º).</t>
        </is>
      </c>
    </row>
    <row r="18">
      <c r="A18" s="2" t="inlineStr">
        <is>
          <t>3. Mira en Archivo &gt; Imprimir que salen todos tus artículos. Si al final sale alguna página en blanco, imprime solo las páginas con artículos. La zona «Elige aquí» no se imprime.</t>
        </is>
      </c>
    </row>
    <row r="19">
      <c r="A19" s="2" t="inlineStr">
        <is>
          <t>4. Guarda el PDF: Archivo &gt; Guardar una copia (o Guardar como). En «Guardar como tipo», elige PDF (*.pdf). En «Opciones», en «Publicar qué», elige «Hojas activas», no «Todo el libro»: si no, el PDF llevará también la hoja «Tarifa», con todas tus tarifas. En Mac, los nombres de este paso cambian un poco.</t>
        </is>
      </c>
    </row>
    <row r="20">
      <c r="A20" s="2" t="inlineStr">
        <is>
          <t>5. Abre el PDF antes de mandarlo: tiene que llevar solo la lista del cliente. Mándalo por email o por WhatsApp. No mandes este Excel.</t>
        </is>
      </c>
    </row>
    <row r="21">
      <c r="A21" s="2" t="inlineStr">
        <is>
          <t>6. Tu logo va en esta hoja, que es la que se guarda en PDF: Revisar &gt; Desproteger hoja, e Insertar &gt; Imágenes. Hazlo pequeño, ponlo junto al título y vuelve a proteger la hoja (Revisar &gt; Proteger hoja, sin contraseña).</t>
        </is>
      </c>
    </row>
    <row r="22">
      <c r="A22" s="2" t="inlineStr"/>
    </row>
    <row r="23">
      <c r="A23" s="3" t="inlineStr">
        <is>
          <t>Cuando cambien tus precios</t>
        </is>
      </c>
    </row>
    <row r="24">
      <c r="A24" s="2" t="inlineStr">
        <is>
          <t>1. Antes de tocar nada, haz una copia del Excel y ponle la fecha en el nombre: «Tarifa 2027-01». Guarda con ella los PDF que mandaste. Esa copia no la toques: los cambios, en el archivo de siempre. Te servirá si alguien reclama un precio antiguo.</t>
        </is>
      </c>
    </row>
    <row r="25">
      <c r="A25" s="2" t="inlineStr">
        <is>
          <t>2. Cambia el precio base de lo que sube: las tres tarifas, el IVA y el recargo se recalculan solos. Si quieres mover una tarifa entera, cambia su %.</t>
        </is>
      </c>
    </row>
    <row r="26">
      <c r="A26" s="2" t="inlineStr">
        <is>
          <t>3. Cambia las fechas de validez y avisa a tus clientes antes de que empiecen los precios nuevos.</t>
        </is>
      </c>
    </row>
    <row r="27">
      <c r="A27" s="2" t="inlineStr"/>
    </row>
    <row r="28">
      <c r="A28" s="3" t="inlineStr">
        <is>
          <t>Las hojas «Tarifa» y «Para enviar» están protegidas, sin contraseña</t>
        </is>
      </c>
    </row>
    <row r="29">
      <c r="A29" s="2" t="inlineStr">
        <is>
          <t>Solo puedes escribir en las celdas de datos, para no borrar una fórmula sin querer. Para cambiar algo más: Revisar &gt; Desproteger hoja. Al terminar, vuelve a protegerla: Revisar &gt; Proteger hoja.</t>
        </is>
      </c>
    </row>
    <row r="30">
      <c r="A30" s="2" t="inlineStr">
        <is>
          <t>¿Un precio especial para un solo cliente? Haz una copia del archivo para ese cliente. En la copia, desprotege la hoja «Para enviar» y escribe su precio encima. En el archivo de siempre, no: la fórmula se perdería.</t>
        </is>
      </c>
    </row>
    <row r="31">
      <c r="A31" s="2" t="inlineStr">
        <is>
          <t>Mejor no insertes filas en medio: escribe los artículos nuevos en las filas vacías del final y ordena. Si de verdad necesitas insertar una fila, desprotege antes la hoja (Revisar &gt; Desproteger hoja). Copia la fila de arriba entera (clic en su número de fila &gt; Copiar), pégala en la nueva y cambia los datos de A a H. Al terminar, vuelve a proteger la hoja. Si la fila nueva se queda sin fórmulas, ese artículo no sale en «Para enviar», y arriba sale un aviso.</t>
        </is>
      </c>
    </row>
    <row r="32">
      <c r="A32" s="2" t="inlineStr">
        <is>
          <t>¿Más de 500 artículos o más de tres tarifas? No caben. Haz dos archivos: por ejemplo, uno por familias, o uno con otras tres tarifas.</t>
        </is>
      </c>
    </row>
    <row r="33">
      <c r="A33" s="2" t="inlineStr"/>
    </row>
    <row r="34">
      <c r="A34" s="3" t="inlineStr">
        <is>
          <t>Avisos (en rojo, arriba de la hoja «Tarifa»; también en «Para enviar»)</t>
        </is>
      </c>
    </row>
    <row r="35">
      <c r="A35" s="2" t="inlineStr">
        <is>
          <t>«Revisa»: el precio base de esa fila no es un número. Pasa si pegas «19,00 €» como texto. Escribe 19 o 19,00, sin el €.</t>
        </is>
      </c>
    </row>
    <row r="36">
      <c r="A36" s="2" t="inlineStr">
        <is>
          <t>«Falta IVA»: el artículo tiene precio, pero no tipo de IVA. Elige 21, 10 o 4.</t>
        </is>
      </c>
    </row>
    <row r="37">
      <c r="A37" s="2" t="inlineStr">
        <is>
          <t>«Hay precios sin descripción»: ese artículo no sale en «Para enviar». Escríbele la descripción.</t>
        </is>
      </c>
    </row>
    <row r="38">
      <c r="A38" s="2" t="inlineStr">
        <is>
          <t>«Hay un % de tarifa entre -1 y 1»: pasa si escribiste «5 %», porque Excel lo guarda como 0,05. Escribe 5 (o -5, si es un descuento). Si tu % es de verdad de menos de un 1 %, el aviso se queda: compruébalo y sigue.</t>
        </is>
      </c>
    </row>
    <row r="39">
      <c r="A39" s="2" t="inlineStr">
        <is>
          <t>«La tarifa ya no está vigente»: la fecha «hasta» ya ha pasado. Revisa los precios y pon las fechas nuevas.</t>
        </is>
      </c>
    </row>
    <row r="40">
      <c r="A40" s="2" t="inlineStr"/>
    </row>
    <row r="41">
      <c r="A41" s="3" t="inlineStr">
        <is>
          <t>IVA y recargo de equivalencia</t>
        </is>
      </c>
    </row>
    <row r="42">
      <c r="A42" s="2" t="inlineStr">
        <is>
          <t>IVA general, 21 %: cerveza, vino y licores; refrescos, zumos y gaseosas con azúcares o edulcorantes añadidos (también los «zero»); limpieza. IVA del 10 %: la mayoría de los alimentos, el agua, el hielo y los zumos sin azúcares ni edulcorantes añadidos. IVA del 4 %: pan común, harinas panificables, leche (no los batidos), quesos, huevos, aceites de oliva y frutas, verduras, hortalizas y legumbres naturales (Ley 37/1992 del IVA, artículos 90 y 91).</t>
        </is>
      </c>
    </row>
    <row r="43">
      <c r="A43" s="2" t="inlineStr">
        <is>
          <t>Recargo de equivalencia: se calcula sobre el precio sin IVA, como el IVA (artículo 160). Es un 5,2 % en lo que lleva IVA del 21 %; un 1,4 % en lo del 10 %; un 0,5 % en lo del 4 % (artículo 161).</t>
        </is>
      </c>
    </row>
    <row r="44">
      <c r="A44" s="2" t="inlineStr">
        <is>
          <t>Los precios con IVA son orientativos: en la factura, el IVA se suele calcular sobre el total de cada tipo, y puede variar algún céntimo. A un particular, cóbrale el precio con IVA que le diste: es su precio final.</t>
        </is>
      </c>
    </row>
    <row r="45">
      <c r="A45" s="2" t="inlineStr"/>
    </row>
    <row r="46">
      <c r="A46" s="2" t="inlineStr">
        <is>
          <t>Funciona en Excel 2010 o posterior, en el ordenador.</t>
        </is>
      </c>
    </row>
    <row r="47">
      <c r="A47" s="2" t="inlineStr">
        <is>
          <t>Plantilla gratuita de PeasyOrders · peasyorders.com/es/plantillas/lista-precios-excel</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P512"/>
  <sheetViews>
    <sheetView showGridLines="0" tabSelected="1" workbookViewId="0">
      <pane xSplit="2" ySplit="12" topLeftCell="C13" activePane="bottomRight" state="frozen"/>
      <selection pane="topRight"/>
      <selection pane="bottomLeft"/>
      <selection pane="bottomRight" activeCell="A1" sqref="A1"/>
    </sheetView>
  </sheetViews>
  <sheetFormatPr baseColWidth="8" defaultRowHeight="15"/>
  <cols>
    <col width="11" customWidth="1" min="1" max="1"/>
    <col width="44" customWidth="1" min="2" max="2"/>
    <col width="9" customWidth="1" min="3" max="3"/>
    <col width="8" customWidth="1" min="4" max="4"/>
    <col width="12" customWidth="1" min="5" max="5"/>
    <col width="15" customWidth="1" min="6" max="6"/>
    <col width="12" customWidth="1" min="7" max="7"/>
    <col width="7" customWidth="1" min="8" max="8"/>
    <col width="10" customWidth="1" min="9" max="9"/>
    <col width="11" customWidth="1" min="10" max="10"/>
    <col width="12" customWidth="1" min="11" max="11"/>
    <col width="12" customWidth="1" min="12" max="12"/>
    <col width="12" customWidth="1" min="13" max="13"/>
    <col width="12" customWidth="1" min="14" max="14"/>
    <col hidden="1" width="5" customWidth="1" min="15" max="15"/>
    <col hidden="1" width="5" customWidth="1" min="16" max="16"/>
  </cols>
  <sheetData>
    <row r="1" ht="26" customHeight="1">
      <c r="A1" s="4" t="inlineStr">
        <is>
          <t>TARIFA DE PRECIOS</t>
        </is>
      </c>
      <c r="G1" s="5" t="inlineStr">
        <is>
          <t>Válida desde</t>
        </is>
      </c>
      <c r="H1" s="6" t="n">
        <v>46388</v>
      </c>
      <c r="I1" s="7" t="n"/>
      <c r="J1" s="8" t="inlineStr">
        <is>
          <t>hasta</t>
        </is>
      </c>
      <c r="K1" s="6" t="n">
        <v>46752</v>
      </c>
      <c r="L1" s="7" t="n"/>
    </row>
    <row r="2">
      <c r="A2" s="9" t="inlineStr">
        <is>
          <t>Tu distribuidora, S.L. · NIF B00000000 (cambia esta línea y la de abajo)</t>
        </is>
      </c>
    </row>
    <row r="3">
      <c r="A3" s="10" t="inlineStr">
        <is>
          <t>Dirección · teléfono · email · web</t>
        </is>
      </c>
    </row>
    <row r="4" ht="8" customHeight="1"/>
    <row r="5">
      <c r="A5" s="11" t="inlineStr">
        <is>
          <t>Condiciones de venta (salen en la tarifa que mandas)</t>
        </is>
      </c>
      <c r="H5" s="11" t="inlineStr">
        <is>
          <t>Tus tarifas: el % se aplica al precio base (-5 es un 5 % menos; 3, un 3 % más)</t>
        </is>
      </c>
    </row>
    <row r="6" ht="22" customHeight="1">
      <c r="A6" s="5" t="inlineStr">
        <is>
          <t>Portes</t>
        </is>
      </c>
      <c r="B6" s="12" t="inlineStr">
        <is>
          <t>Pagados en pedidos desde 120 € sin IVA. Por debajo, 9 € por entrega.</t>
        </is>
      </c>
      <c r="C6" s="7" t="n"/>
      <c r="D6" s="7" t="n"/>
      <c r="E6" s="7" t="n"/>
      <c r="F6" s="7" t="n"/>
      <c r="H6" s="13" t="inlineStr">
        <is>
          <t>Nombre de la tarifa</t>
        </is>
      </c>
      <c r="I6" s="14" t="n"/>
      <c r="J6" s="14" t="n"/>
      <c r="K6" s="13" t="inlineStr">
        <is>
          <t>% sobre el precio base</t>
        </is>
      </c>
      <c r="M6" s="13" t="inlineStr">
        <is>
          <t>Redondear las tarifas a</t>
        </is>
      </c>
      <c r="N6" s="14" t="n"/>
    </row>
    <row r="7" ht="22" customHeight="1">
      <c r="A7" s="5" t="inlineStr">
        <is>
          <t>Pedido mínimo</t>
        </is>
      </c>
      <c r="B7" s="12" t="inlineStr">
        <is>
          <t>60 € sin IVA por entrega.</t>
        </is>
      </c>
      <c r="C7" s="7" t="n"/>
      <c r="D7" s="7" t="n"/>
      <c r="E7" s="7" t="n"/>
      <c r="F7" s="7" t="n"/>
      <c r="H7" s="5" t="inlineStr">
        <is>
          <t>Precio base</t>
        </is>
      </c>
      <c r="I7" s="15" t="n"/>
      <c r="J7" s="15" t="n"/>
      <c r="K7" s="16" t="n">
        <v>0</v>
      </c>
      <c r="M7" s="17" t="inlineStr">
        <is>
          <t>Céntimo</t>
        </is>
      </c>
      <c r="N7" s="7" t="n"/>
      <c r="O7">
        <f>IF(M7="10 céntimos",0.1,IF(M7="5 céntimos",0.05,0.01))</f>
        <v/>
      </c>
    </row>
    <row r="8" ht="22" customHeight="1">
      <c r="A8" s="5" t="inlineStr">
        <is>
          <t>Forma de pago</t>
        </is>
      </c>
      <c r="B8" s="12" t="inlineStr">
        <is>
          <t>Recibo domiciliado a 30 días desde la entrega, o transferencia.</t>
        </is>
      </c>
      <c r="C8" s="7" t="n"/>
      <c r="D8" s="7" t="n"/>
      <c r="E8" s="7" t="n"/>
      <c r="F8" s="7" t="n"/>
      <c r="H8" s="18" t="inlineStr">
        <is>
          <t>Hostelería</t>
        </is>
      </c>
      <c r="I8" s="7" t="n"/>
      <c r="J8" s="7" t="n"/>
      <c r="K8" s="17" t="n">
        <v>-3</v>
      </c>
    </row>
    <row r="9" ht="22" customHeight="1">
      <c r="A9" s="5" t="inlineStr">
        <is>
          <t>Observaciones</t>
        </is>
      </c>
      <c r="B9" s="12" t="inlineStr">
        <is>
          <t>Barriles y cajas retornables: la fianza va aparte, en su línea del albarán y de la factura.</t>
        </is>
      </c>
      <c r="C9" s="7" t="n"/>
      <c r="D9" s="7" t="n"/>
      <c r="E9" s="7" t="n"/>
      <c r="F9" s="7" t="n"/>
      <c r="H9" s="18" t="inlineStr">
        <is>
          <t>Tiendas</t>
        </is>
      </c>
      <c r="I9" s="7" t="n"/>
      <c r="J9" s="7" t="n"/>
      <c r="K9" s="17" t="n">
        <v>2</v>
      </c>
    </row>
    <row r="10" ht="22" customHeight="1">
      <c r="H10" s="18" t="inlineStr">
        <is>
          <t>Volumen</t>
        </is>
      </c>
      <c r="I10" s="7" t="n"/>
      <c r="J10" s="7" t="n"/>
      <c r="K10" s="17" t="n">
        <v>-8</v>
      </c>
    </row>
    <row r="11" ht="30" customHeight="1">
      <c r="A11" s="19">
        <f>TRIM(IF(COUNTIF(J13:J512,"Revisa")&gt;0,"Hay un precio base que no es un número: mira las filas con «Revisa». ","")&amp;IF(COUNTIF(J13:J512,"Falta IVA")&gt;0,"Falta el IVA % de algún artículo: elígelo en la columna H. ","")&amp;IF(SUM(P13:P512)&gt;0,"Hay precios sin descripción: esos artículos no salen en «Para enviar». ","")&amp;IF(COUNTA(B13:B512)&lt;&gt;COUNT(O13:O512),"Hay artículos en filas sin fórmulas (¿has insertado filas?): no salen en «Para enviar». Mira las Instrucciones. ","")&amp;IF(OR(AND(N(K8)&lt;&gt;0,ABS(N(K8))&lt;1),AND(N(K9)&lt;&gt;0,ABS(N(K9))&lt;1),AND(N(K10)&lt;&gt;0,ABS(N(K10))&lt;1)),"Hay un % de tarifa entre -1 y 1, como 0,05: si querías un 5 %, escribe 5, sin el signo %. ","")&amp;IF(AND(ISNUMBER(H1),ISNUMBER(K1)),IF(K1&lt;H1,"La fecha «hasta» es anterior a «desde». ",IF(K1&lt;TODAY(),"La tarifa ya no está vigente: revisa los precios y cambia las fechas. ","")),""))</f>
        <v/>
      </c>
    </row>
    <row r="12" ht="42" customHeight="1">
      <c r="A12" s="13" t="inlineStr">
        <is>
          <t>Código</t>
        </is>
      </c>
      <c r="B12" s="13" t="inlineStr">
        <is>
          <t>Descripción</t>
        </is>
      </c>
      <c r="C12" s="13" t="inlineStr">
        <is>
          <t>Formato</t>
        </is>
      </c>
      <c r="D12" s="13" t="inlineStr">
        <is>
          <t>Uds. por caja o pack</t>
        </is>
      </c>
      <c r="E12" s="13" t="inlineStr">
        <is>
          <t>Familia</t>
        </is>
      </c>
      <c r="F12" s="13" t="inlineStr">
        <is>
          <t>EAN (opcional)</t>
        </is>
      </c>
      <c r="G12" s="13" t="inlineStr">
        <is>
          <t>Precio base sin IVA (por caja o formato)</t>
        </is>
      </c>
      <c r="H12" s="13" t="inlineStr">
        <is>
          <t>IVA %</t>
        </is>
      </c>
      <c r="I12" s="20" t="inlineStr">
        <is>
          <t>Precio base por unidad</t>
        </is>
      </c>
      <c r="J12" s="20" t="inlineStr">
        <is>
          <t>Precio base con IVA</t>
        </is>
      </c>
      <c r="K12" s="20" t="inlineStr">
        <is>
          <t>Con IVA y recargo de equivalencia</t>
        </is>
      </c>
      <c r="L12" s="20">
        <f>IF($H$8="","Tarifa 1",$H$8)&amp;" sin IVA"</f>
        <v/>
      </c>
      <c r="M12" s="20">
        <f>IF($H$9="","Tarifa 2",$H$9)&amp;" sin IVA"</f>
        <v/>
      </c>
      <c r="N12" s="20">
        <f>IF($H$10="","Tarifa 3",$H$10)&amp;" sin IVA"</f>
        <v/>
      </c>
      <c r="O12" t="inlineStr">
        <is>
          <t>Nº</t>
        </is>
      </c>
      <c r="P12" t="inlineStr">
        <is>
          <t>Sin desc.</t>
        </is>
      </c>
    </row>
    <row r="13">
      <c r="A13" s="21" t="inlineStr">
        <is>
          <t>CER-033</t>
        </is>
      </c>
      <c r="B13" s="21" t="inlineStr">
        <is>
          <t>Cerveza rubia, tercio 33 cl</t>
        </is>
      </c>
      <c r="C13" s="21" t="inlineStr">
        <is>
          <t>Caja</t>
        </is>
      </c>
      <c r="D13" s="22" t="n">
        <v>24</v>
      </c>
      <c r="E13" s="21" t="inlineStr">
        <is>
          <t>Cervezas</t>
        </is>
      </c>
      <c r="F13" s="23" t="n"/>
      <c r="G13" s="24" t="n">
        <v>19</v>
      </c>
      <c r="H13" s="25" t="n">
        <v>21</v>
      </c>
      <c r="I13" s="26">
        <f>IF(OR(NOT(ISNUMBER(G13)),N(D13)&lt;=1),"",ROUND(G13/D13,3))</f>
        <v/>
      </c>
      <c r="J13" s="27">
        <f>IF(G13="","",IF(NOT(ISNUMBER(G13)),"Revisa",IF(H13="","Falta IVA",ROUND(G13*(1+H13/100),2))))</f>
        <v/>
      </c>
      <c r="K13" s="27">
        <f>IF(G13="","",IF(NOT(ISNUMBER(G13)),"Revisa",IF(H13="","Falta IVA",ROUND(G13*(1+(H13+IF(H13=21,5.2,IF(H13=10,1.4,IF(H13=4,0.5,0))))/100),2))))</f>
        <v/>
      </c>
      <c r="L13" s="27">
        <f>IF(G13="","",IF(NOT(ISNUMBER(G13)),"Revisa",ROUND(ROUND(G13*(1+N($K$8)/100)/$O$7,0)*$O$7,2)))</f>
        <v/>
      </c>
      <c r="M13" s="27">
        <f>IF(G13="","",IF(NOT(ISNUMBER(G13)),"Revisa",ROUND(ROUND(G13*(1+N($K$9)/100)/$O$7,0)*$O$7,2)))</f>
        <v/>
      </c>
      <c r="N13" s="27">
        <f>IF(G13="","",IF(NOT(ISNUMBER(G13)),"Revisa",ROUND(ROUND(G13*(1+N($K$10)/100)/$O$7,0)*$O$7,2)))</f>
        <v/>
      </c>
      <c r="O13">
        <f>IF(B13="","",MAX($O$12:O12)+1)</f>
        <v/>
      </c>
      <c r="P13">
        <f>IF(AND(B13="",G13&lt;&gt;""),1,0)</f>
        <v/>
      </c>
    </row>
    <row r="14">
      <c r="A14" s="21" t="inlineStr">
        <is>
          <t>CER-B30</t>
        </is>
      </c>
      <c r="B14" s="21" t="inlineStr">
        <is>
          <t>Cerveza rubia, barril 30 L</t>
        </is>
      </c>
      <c r="C14" s="21" t="inlineStr">
        <is>
          <t>Barril</t>
        </is>
      </c>
      <c r="D14" s="22" t="n">
        <v>1</v>
      </c>
      <c r="E14" s="21" t="inlineStr">
        <is>
          <t>Cervezas</t>
        </is>
      </c>
      <c r="F14" s="23" t="n"/>
      <c r="G14" s="24" t="n">
        <v>82</v>
      </c>
      <c r="H14" s="25" t="n">
        <v>21</v>
      </c>
      <c r="I14" s="26">
        <f>IF(OR(NOT(ISNUMBER(G14)),N(D14)&lt;=1),"",ROUND(G14/D14,3))</f>
        <v/>
      </c>
      <c r="J14" s="27">
        <f>IF(G14="","",IF(NOT(ISNUMBER(G14)),"Revisa",IF(H14="","Falta IVA",ROUND(G14*(1+H14/100),2))))</f>
        <v/>
      </c>
      <c r="K14" s="27">
        <f>IF(G14="","",IF(NOT(ISNUMBER(G14)),"Revisa",IF(H14="","Falta IVA",ROUND(G14*(1+(H14+IF(H14=21,5.2,IF(H14=10,1.4,IF(H14=4,0.5,0))))/100),2))))</f>
        <v/>
      </c>
      <c r="L14" s="27">
        <f>IF(G14="","",IF(NOT(ISNUMBER(G14)),"Revisa",ROUND(ROUND(G14*(1+N($K$8)/100)/$O$7,0)*$O$7,2)))</f>
        <v/>
      </c>
      <c r="M14" s="27">
        <f>IF(G14="","",IF(NOT(ISNUMBER(G14)),"Revisa",ROUND(ROUND(G14*(1+N($K$9)/100)/$O$7,0)*$O$7,2)))</f>
        <v/>
      </c>
      <c r="N14" s="27">
        <f>IF(G14="","",IF(NOT(ISNUMBER(G14)),"Revisa",ROUND(ROUND(G14*(1+N($K$10)/100)/$O$7,0)*$O$7,2)))</f>
        <v/>
      </c>
      <c r="O14">
        <f>IF(B14="","",MAX($O$12:O13)+1)</f>
        <v/>
      </c>
      <c r="P14">
        <f>IF(AND(B14="",G14&lt;&gt;""),1,0)</f>
        <v/>
      </c>
    </row>
    <row r="15">
      <c r="A15" s="21" t="inlineStr">
        <is>
          <t>AGU-150</t>
        </is>
      </c>
      <c r="B15" s="21" t="inlineStr">
        <is>
          <t>Agua mineral sin gas, botella 1,5 L</t>
        </is>
      </c>
      <c r="C15" s="21" t="inlineStr">
        <is>
          <t>Pack</t>
        </is>
      </c>
      <c r="D15" s="22" t="n">
        <v>6</v>
      </c>
      <c r="E15" s="21" t="inlineStr">
        <is>
          <t>Aguas</t>
        </is>
      </c>
      <c r="F15" s="23" t="n"/>
      <c r="G15" s="24" t="n">
        <v>2.7</v>
      </c>
      <c r="H15" s="25" t="n">
        <v>10</v>
      </c>
      <c r="I15" s="26">
        <f>IF(OR(NOT(ISNUMBER(G15)),N(D15)&lt;=1),"",ROUND(G15/D15,3))</f>
        <v/>
      </c>
      <c r="J15" s="27">
        <f>IF(G15="","",IF(NOT(ISNUMBER(G15)),"Revisa",IF(H15="","Falta IVA",ROUND(G15*(1+H15/100),2))))</f>
        <v/>
      </c>
      <c r="K15" s="27">
        <f>IF(G15="","",IF(NOT(ISNUMBER(G15)),"Revisa",IF(H15="","Falta IVA",ROUND(G15*(1+(H15+IF(H15=21,5.2,IF(H15=10,1.4,IF(H15=4,0.5,0))))/100),2))))</f>
        <v/>
      </c>
      <c r="L15" s="27">
        <f>IF(G15="","",IF(NOT(ISNUMBER(G15)),"Revisa",ROUND(ROUND(G15*(1+N($K$8)/100)/$O$7,0)*$O$7,2)))</f>
        <v/>
      </c>
      <c r="M15" s="27">
        <f>IF(G15="","",IF(NOT(ISNUMBER(G15)),"Revisa",ROUND(ROUND(G15*(1+N($K$9)/100)/$O$7,0)*$O$7,2)))</f>
        <v/>
      </c>
      <c r="N15" s="27">
        <f>IF(G15="","",IF(NOT(ISNUMBER(G15)),"Revisa",ROUND(ROUND(G15*(1+N($K$10)/100)/$O$7,0)*$O$7,2)))</f>
        <v/>
      </c>
      <c r="O15">
        <f>IF(B15="","",MAX($O$12:O14)+1)</f>
        <v/>
      </c>
      <c r="P15">
        <f>IF(AND(B15="",G15&lt;&gt;""),1,0)</f>
        <v/>
      </c>
    </row>
    <row r="16">
      <c r="A16" s="21" t="inlineStr">
        <is>
          <t>AGU-G50</t>
        </is>
      </c>
      <c r="B16" s="21" t="inlineStr">
        <is>
          <t>Agua con gas, botella 50 cl</t>
        </is>
      </c>
      <c r="C16" s="21" t="inlineStr">
        <is>
          <t>Caja</t>
        </is>
      </c>
      <c r="D16" s="22" t="n">
        <v>24</v>
      </c>
      <c r="E16" s="21" t="inlineStr">
        <is>
          <t>Aguas</t>
        </is>
      </c>
      <c r="F16" s="23" t="n"/>
      <c r="G16" s="24" t="n">
        <v>9.9</v>
      </c>
      <c r="H16" s="25" t="n">
        <v>10</v>
      </c>
      <c r="I16" s="26">
        <f>IF(OR(NOT(ISNUMBER(G16)),N(D16)&lt;=1),"",ROUND(G16/D16,3))</f>
        <v/>
      </c>
      <c r="J16" s="27">
        <f>IF(G16="","",IF(NOT(ISNUMBER(G16)),"Revisa",IF(H16="","Falta IVA",ROUND(G16*(1+H16/100),2))))</f>
        <v/>
      </c>
      <c r="K16" s="27">
        <f>IF(G16="","",IF(NOT(ISNUMBER(G16)),"Revisa",IF(H16="","Falta IVA",ROUND(G16*(1+(H16+IF(H16=21,5.2,IF(H16=10,1.4,IF(H16=4,0.5,0))))/100),2))))</f>
        <v/>
      </c>
      <c r="L16" s="27">
        <f>IF(G16="","",IF(NOT(ISNUMBER(G16)),"Revisa",ROUND(ROUND(G16*(1+N($K$8)/100)/$O$7,0)*$O$7,2)))</f>
        <v/>
      </c>
      <c r="M16" s="27">
        <f>IF(G16="","",IF(NOT(ISNUMBER(G16)),"Revisa",ROUND(ROUND(G16*(1+N($K$9)/100)/$O$7,0)*$O$7,2)))</f>
        <v/>
      </c>
      <c r="N16" s="27">
        <f>IF(G16="","",IF(NOT(ISNUMBER(G16)),"Revisa",ROUND(ROUND(G16*(1+N($K$10)/100)/$O$7,0)*$O$7,2)))</f>
        <v/>
      </c>
      <c r="O16">
        <f>IF(B16="","",MAX($O$12:O15)+1)</f>
        <v/>
      </c>
      <c r="P16">
        <f>IF(AND(B16="",G16&lt;&gt;""),1,0)</f>
        <v/>
      </c>
    </row>
    <row r="17">
      <c r="A17" s="21" t="inlineStr">
        <is>
          <t>REF-C33</t>
        </is>
      </c>
      <c r="B17" s="21" t="inlineStr">
        <is>
          <t>Refresco de cola, lata 33 cl</t>
        </is>
      </c>
      <c r="C17" s="21" t="inlineStr">
        <is>
          <t>Caja</t>
        </is>
      </c>
      <c r="D17" s="22" t="n">
        <v>24</v>
      </c>
      <c r="E17" s="21" t="inlineStr">
        <is>
          <t>Refrescos</t>
        </is>
      </c>
      <c r="F17" s="23" t="n"/>
      <c r="G17" s="24" t="n">
        <v>13.2</v>
      </c>
      <c r="H17" s="25" t="n">
        <v>21</v>
      </c>
      <c r="I17" s="26">
        <f>IF(OR(NOT(ISNUMBER(G17)),N(D17)&lt;=1),"",ROUND(G17/D17,3))</f>
        <v/>
      </c>
      <c r="J17" s="27">
        <f>IF(G17="","",IF(NOT(ISNUMBER(G17)),"Revisa",IF(H17="","Falta IVA",ROUND(G17*(1+H17/100),2))))</f>
        <v/>
      </c>
      <c r="K17" s="27">
        <f>IF(G17="","",IF(NOT(ISNUMBER(G17)),"Revisa",IF(H17="","Falta IVA",ROUND(G17*(1+(H17+IF(H17=21,5.2,IF(H17=10,1.4,IF(H17=4,0.5,0))))/100),2))))</f>
        <v/>
      </c>
      <c r="L17" s="27">
        <f>IF(G17="","",IF(NOT(ISNUMBER(G17)),"Revisa",ROUND(ROUND(G17*(1+N($K$8)/100)/$O$7,0)*$O$7,2)))</f>
        <v/>
      </c>
      <c r="M17" s="27">
        <f>IF(G17="","",IF(NOT(ISNUMBER(G17)),"Revisa",ROUND(ROUND(G17*(1+N($K$9)/100)/$O$7,0)*$O$7,2)))</f>
        <v/>
      </c>
      <c r="N17" s="27">
        <f>IF(G17="","",IF(NOT(ISNUMBER(G17)),"Revisa",ROUND(ROUND(G17*(1+N($K$10)/100)/$O$7,0)*$O$7,2)))</f>
        <v/>
      </c>
      <c r="O17">
        <f>IF(B17="","",MAX($O$12:O16)+1)</f>
        <v/>
      </c>
      <c r="P17">
        <f>IF(AND(B17="",G17&lt;&gt;""),1,0)</f>
        <v/>
      </c>
    </row>
    <row r="18">
      <c r="A18" s="21" t="inlineStr">
        <is>
          <t>REF-Z33</t>
        </is>
      </c>
      <c r="B18" s="21" t="inlineStr">
        <is>
          <t>Refresco de cola zero, lata 33 cl</t>
        </is>
      </c>
      <c r="C18" s="21" t="inlineStr">
        <is>
          <t>Caja</t>
        </is>
      </c>
      <c r="D18" s="22" t="n">
        <v>24</v>
      </c>
      <c r="E18" s="21" t="inlineStr">
        <is>
          <t>Refrescos</t>
        </is>
      </c>
      <c r="F18" s="23" t="n"/>
      <c r="G18" s="24" t="n">
        <v>13.2</v>
      </c>
      <c r="H18" s="25" t="n">
        <v>21</v>
      </c>
      <c r="I18" s="26">
        <f>IF(OR(NOT(ISNUMBER(G18)),N(D18)&lt;=1),"",ROUND(G18/D18,3))</f>
        <v/>
      </c>
      <c r="J18" s="27">
        <f>IF(G18="","",IF(NOT(ISNUMBER(G18)),"Revisa",IF(H18="","Falta IVA",ROUND(G18*(1+H18/100),2))))</f>
        <v/>
      </c>
      <c r="K18" s="27">
        <f>IF(G18="","",IF(NOT(ISNUMBER(G18)),"Revisa",IF(H18="","Falta IVA",ROUND(G18*(1+(H18+IF(H18=21,5.2,IF(H18=10,1.4,IF(H18=4,0.5,0))))/100),2))))</f>
        <v/>
      </c>
      <c r="L18" s="27">
        <f>IF(G18="","",IF(NOT(ISNUMBER(G18)),"Revisa",ROUND(ROUND(G18*(1+N($K$8)/100)/$O$7,0)*$O$7,2)))</f>
        <v/>
      </c>
      <c r="M18" s="27">
        <f>IF(G18="","",IF(NOT(ISNUMBER(G18)),"Revisa",ROUND(ROUND(G18*(1+N($K$9)/100)/$O$7,0)*$O$7,2)))</f>
        <v/>
      </c>
      <c r="N18" s="27">
        <f>IF(G18="","",IF(NOT(ISNUMBER(G18)),"Revisa",ROUND(ROUND(G18*(1+N($K$10)/100)/$O$7,0)*$O$7,2)))</f>
        <v/>
      </c>
      <c r="O18">
        <f>IF(B18="","",MAX($O$12:O17)+1)</f>
        <v/>
      </c>
      <c r="P18">
        <f>IF(AND(B18="",G18&lt;&gt;""),1,0)</f>
        <v/>
      </c>
    </row>
    <row r="19">
      <c r="A19" s="21" t="inlineStr">
        <is>
          <t>REF-T20</t>
        </is>
      </c>
      <c r="B19" s="21" t="inlineStr">
        <is>
          <t>Tónica, botella 20 cl</t>
        </is>
      </c>
      <c r="C19" s="21" t="inlineStr">
        <is>
          <t>Caja</t>
        </is>
      </c>
      <c r="D19" s="22" t="n">
        <v>24</v>
      </c>
      <c r="E19" s="21" t="inlineStr">
        <is>
          <t>Refrescos</t>
        </is>
      </c>
      <c r="F19" s="23" t="n"/>
      <c r="G19" s="24" t="n">
        <v>12.6</v>
      </c>
      <c r="H19" s="25" t="n">
        <v>21</v>
      </c>
      <c r="I19" s="26">
        <f>IF(OR(NOT(ISNUMBER(G19)),N(D19)&lt;=1),"",ROUND(G19/D19,3))</f>
        <v/>
      </c>
      <c r="J19" s="27">
        <f>IF(G19="","",IF(NOT(ISNUMBER(G19)),"Revisa",IF(H19="","Falta IVA",ROUND(G19*(1+H19/100),2))))</f>
        <v/>
      </c>
      <c r="K19" s="27">
        <f>IF(G19="","",IF(NOT(ISNUMBER(G19)),"Revisa",IF(H19="","Falta IVA",ROUND(G19*(1+(H19+IF(H19=21,5.2,IF(H19=10,1.4,IF(H19=4,0.5,0))))/100),2))))</f>
        <v/>
      </c>
      <c r="L19" s="27">
        <f>IF(G19="","",IF(NOT(ISNUMBER(G19)),"Revisa",ROUND(ROUND(G19*(1+N($K$8)/100)/$O$7,0)*$O$7,2)))</f>
        <v/>
      </c>
      <c r="M19" s="27">
        <f>IF(G19="","",IF(NOT(ISNUMBER(G19)),"Revisa",ROUND(ROUND(G19*(1+N($K$9)/100)/$O$7,0)*$O$7,2)))</f>
        <v/>
      </c>
      <c r="N19" s="27">
        <f>IF(G19="","",IF(NOT(ISNUMBER(G19)),"Revisa",ROUND(ROUND(G19*(1+N($K$10)/100)/$O$7,0)*$O$7,2)))</f>
        <v/>
      </c>
      <c r="O19">
        <f>IF(B19="","",MAX($O$12:O18)+1)</f>
        <v/>
      </c>
      <c r="P19">
        <f>IF(AND(B19="",G19&lt;&gt;""),1,0)</f>
        <v/>
      </c>
    </row>
    <row r="20">
      <c r="A20" s="21" t="inlineStr">
        <is>
          <t>ZUM-N20</t>
        </is>
      </c>
      <c r="B20" s="21" t="inlineStr">
        <is>
          <t>Zumo de naranja sin azúcares añadidos, 20 cl</t>
        </is>
      </c>
      <c r="C20" s="21" t="inlineStr">
        <is>
          <t>Caja</t>
        </is>
      </c>
      <c r="D20" s="22" t="n">
        <v>24</v>
      </c>
      <c r="E20" s="21" t="inlineStr">
        <is>
          <t>Zumos</t>
        </is>
      </c>
      <c r="F20" s="23" t="n"/>
      <c r="G20" s="24" t="n">
        <v>14.4</v>
      </c>
      <c r="H20" s="25" t="n">
        <v>10</v>
      </c>
      <c r="I20" s="26">
        <f>IF(OR(NOT(ISNUMBER(G20)),N(D20)&lt;=1),"",ROUND(G20/D20,3))</f>
        <v/>
      </c>
      <c r="J20" s="27">
        <f>IF(G20="","",IF(NOT(ISNUMBER(G20)),"Revisa",IF(H20="","Falta IVA",ROUND(G20*(1+H20/100),2))))</f>
        <v/>
      </c>
      <c r="K20" s="27">
        <f>IF(G20="","",IF(NOT(ISNUMBER(G20)),"Revisa",IF(H20="","Falta IVA",ROUND(G20*(1+(H20+IF(H20=21,5.2,IF(H20=10,1.4,IF(H20=4,0.5,0))))/100),2))))</f>
        <v/>
      </c>
      <c r="L20" s="27">
        <f>IF(G20="","",IF(NOT(ISNUMBER(G20)),"Revisa",ROUND(ROUND(G20*(1+N($K$8)/100)/$O$7,0)*$O$7,2)))</f>
        <v/>
      </c>
      <c r="M20" s="27">
        <f>IF(G20="","",IF(NOT(ISNUMBER(G20)),"Revisa",ROUND(ROUND(G20*(1+N($K$9)/100)/$O$7,0)*$O$7,2)))</f>
        <v/>
      </c>
      <c r="N20" s="27">
        <f>IF(G20="","",IF(NOT(ISNUMBER(G20)),"Revisa",ROUND(ROUND(G20*(1+N($K$10)/100)/$O$7,0)*$O$7,2)))</f>
        <v/>
      </c>
      <c r="O20">
        <f>IF(B20="","",MAX($O$12:O19)+1)</f>
        <v/>
      </c>
      <c r="P20">
        <f>IF(AND(B20="",G20&lt;&gt;""),1,0)</f>
        <v/>
      </c>
    </row>
    <row r="21">
      <c r="A21" s="21" t="inlineStr">
        <is>
          <t>ZUM-M20</t>
        </is>
      </c>
      <c r="B21" s="21" t="inlineStr">
        <is>
          <t>Néctar de melocotón con azúcar añadido, 20 cl</t>
        </is>
      </c>
      <c r="C21" s="21" t="inlineStr">
        <is>
          <t>Caja</t>
        </is>
      </c>
      <c r="D21" s="22" t="n">
        <v>24</v>
      </c>
      <c r="E21" s="21" t="inlineStr">
        <is>
          <t>Zumos</t>
        </is>
      </c>
      <c r="F21" s="23" t="n"/>
      <c r="G21" s="24" t="n">
        <v>13.8</v>
      </c>
      <c r="H21" s="25" t="n">
        <v>21</v>
      </c>
      <c r="I21" s="26">
        <f>IF(OR(NOT(ISNUMBER(G21)),N(D21)&lt;=1),"",ROUND(G21/D21,3))</f>
        <v/>
      </c>
      <c r="J21" s="27">
        <f>IF(G21="","",IF(NOT(ISNUMBER(G21)),"Revisa",IF(H21="","Falta IVA",ROUND(G21*(1+H21/100),2))))</f>
        <v/>
      </c>
      <c r="K21" s="27">
        <f>IF(G21="","",IF(NOT(ISNUMBER(G21)),"Revisa",IF(H21="","Falta IVA",ROUND(G21*(1+(H21+IF(H21=21,5.2,IF(H21=10,1.4,IF(H21=4,0.5,0))))/100),2))))</f>
        <v/>
      </c>
      <c r="L21" s="27">
        <f>IF(G21="","",IF(NOT(ISNUMBER(G21)),"Revisa",ROUND(ROUND(G21*(1+N($K$8)/100)/$O$7,0)*$O$7,2)))</f>
        <v/>
      </c>
      <c r="M21" s="27">
        <f>IF(G21="","",IF(NOT(ISNUMBER(G21)),"Revisa",ROUND(ROUND(G21*(1+N($K$9)/100)/$O$7,0)*$O$7,2)))</f>
        <v/>
      </c>
      <c r="N21" s="27">
        <f>IF(G21="","",IF(NOT(ISNUMBER(G21)),"Revisa",ROUND(ROUND(G21*(1+N($K$10)/100)/$O$7,0)*$O$7,2)))</f>
        <v/>
      </c>
      <c r="O21">
        <f>IF(B21="","",MAX($O$12:O20)+1)</f>
        <v/>
      </c>
      <c r="P21">
        <f>IF(AND(B21="",G21&lt;&gt;""),1,0)</f>
        <v/>
      </c>
    </row>
    <row r="22">
      <c r="A22" s="21" t="inlineStr">
        <is>
          <t>VIN-T75</t>
        </is>
      </c>
      <c r="B22" s="21" t="inlineStr">
        <is>
          <t>Vino tinto joven, botella 75 cl</t>
        </is>
      </c>
      <c r="C22" s="21" t="inlineStr">
        <is>
          <t>Caja</t>
        </is>
      </c>
      <c r="D22" s="22" t="n">
        <v>6</v>
      </c>
      <c r="E22" s="21" t="inlineStr">
        <is>
          <t>Vinos</t>
        </is>
      </c>
      <c r="F22" s="23" t="n"/>
      <c r="G22" s="24" t="n">
        <v>21</v>
      </c>
      <c r="H22" s="25" t="n">
        <v>21</v>
      </c>
      <c r="I22" s="26">
        <f>IF(OR(NOT(ISNUMBER(G22)),N(D22)&lt;=1),"",ROUND(G22/D22,3))</f>
        <v/>
      </c>
      <c r="J22" s="27">
        <f>IF(G22="","",IF(NOT(ISNUMBER(G22)),"Revisa",IF(H22="","Falta IVA",ROUND(G22*(1+H22/100),2))))</f>
        <v/>
      </c>
      <c r="K22" s="27">
        <f>IF(G22="","",IF(NOT(ISNUMBER(G22)),"Revisa",IF(H22="","Falta IVA",ROUND(G22*(1+(H22+IF(H22=21,5.2,IF(H22=10,1.4,IF(H22=4,0.5,0))))/100),2))))</f>
        <v/>
      </c>
      <c r="L22" s="27">
        <f>IF(G22="","",IF(NOT(ISNUMBER(G22)),"Revisa",ROUND(ROUND(G22*(1+N($K$8)/100)/$O$7,0)*$O$7,2)))</f>
        <v/>
      </c>
      <c r="M22" s="27">
        <f>IF(G22="","",IF(NOT(ISNUMBER(G22)),"Revisa",ROUND(ROUND(G22*(1+N($K$9)/100)/$O$7,0)*$O$7,2)))</f>
        <v/>
      </c>
      <c r="N22" s="27">
        <f>IF(G22="","",IF(NOT(ISNUMBER(G22)),"Revisa",ROUND(ROUND(G22*(1+N($K$10)/100)/$O$7,0)*$O$7,2)))</f>
        <v/>
      </c>
      <c r="O22">
        <f>IF(B22="","",MAX($O$12:O21)+1)</f>
        <v/>
      </c>
      <c r="P22">
        <f>IF(AND(B22="",G22&lt;&gt;""),1,0)</f>
        <v/>
      </c>
    </row>
    <row r="23">
      <c r="A23" s="21" t="inlineStr">
        <is>
          <t>LEC-E1</t>
        </is>
      </c>
      <c r="B23" s="21" t="inlineStr">
        <is>
          <t>Leche entera UHT, brik 1 L</t>
        </is>
      </c>
      <c r="C23" s="21" t="inlineStr">
        <is>
          <t>Caja</t>
        </is>
      </c>
      <c r="D23" s="22" t="n">
        <v>6</v>
      </c>
      <c r="E23" s="21" t="inlineStr">
        <is>
          <t>Lácteos</t>
        </is>
      </c>
      <c r="F23" s="23" t="n"/>
      <c r="G23" s="24" t="n">
        <v>5.4</v>
      </c>
      <c r="H23" s="25" t="n">
        <v>4</v>
      </c>
      <c r="I23" s="26">
        <f>IF(OR(NOT(ISNUMBER(G23)),N(D23)&lt;=1),"",ROUND(G23/D23,3))</f>
        <v/>
      </c>
      <c r="J23" s="27">
        <f>IF(G23="","",IF(NOT(ISNUMBER(G23)),"Revisa",IF(H23="","Falta IVA",ROUND(G23*(1+H23/100),2))))</f>
        <v/>
      </c>
      <c r="K23" s="27">
        <f>IF(G23="","",IF(NOT(ISNUMBER(G23)),"Revisa",IF(H23="","Falta IVA",ROUND(G23*(1+(H23+IF(H23=21,5.2,IF(H23=10,1.4,IF(H23=4,0.5,0))))/100),2))))</f>
        <v/>
      </c>
      <c r="L23" s="27">
        <f>IF(G23="","",IF(NOT(ISNUMBER(G23)),"Revisa",ROUND(ROUND(G23*(1+N($K$8)/100)/$O$7,0)*$O$7,2)))</f>
        <v/>
      </c>
      <c r="M23" s="27">
        <f>IF(G23="","",IF(NOT(ISNUMBER(G23)),"Revisa",ROUND(ROUND(G23*(1+N($K$9)/100)/$O$7,0)*$O$7,2)))</f>
        <v/>
      </c>
      <c r="N23" s="27">
        <f>IF(G23="","",IF(NOT(ISNUMBER(G23)),"Revisa",ROUND(ROUND(G23*(1+N($K$10)/100)/$O$7,0)*$O$7,2)))</f>
        <v/>
      </c>
      <c r="O23">
        <f>IF(B23="","",MAX($O$12:O22)+1)</f>
        <v/>
      </c>
      <c r="P23">
        <f>IF(AND(B23="",G23&lt;&gt;""),1,0)</f>
        <v/>
      </c>
    </row>
    <row r="24">
      <c r="A24" s="21" t="inlineStr">
        <is>
          <t>HIE-2K</t>
        </is>
      </c>
      <c r="B24" s="21" t="inlineStr">
        <is>
          <t>Hielo en cubitos, bolsa 2 kg</t>
        </is>
      </c>
      <c r="C24" s="21" t="inlineStr">
        <is>
          <t>Unidad</t>
        </is>
      </c>
      <c r="D24" s="22" t="n">
        <v>1</v>
      </c>
      <c r="E24" s="21" t="inlineStr">
        <is>
          <t>Hielo</t>
        </is>
      </c>
      <c r="F24" s="23" t="n"/>
      <c r="G24" s="24" t="n">
        <v>1.2</v>
      </c>
      <c r="H24" s="25" t="n">
        <v>10</v>
      </c>
      <c r="I24" s="26">
        <f>IF(OR(NOT(ISNUMBER(G24)),N(D24)&lt;=1),"",ROUND(G24/D24,3))</f>
        <v/>
      </c>
      <c r="J24" s="27">
        <f>IF(G24="","",IF(NOT(ISNUMBER(G24)),"Revisa",IF(H24="","Falta IVA",ROUND(G24*(1+H24/100),2))))</f>
        <v/>
      </c>
      <c r="K24" s="27">
        <f>IF(G24="","",IF(NOT(ISNUMBER(G24)),"Revisa",IF(H24="","Falta IVA",ROUND(G24*(1+(H24+IF(H24=21,5.2,IF(H24=10,1.4,IF(H24=4,0.5,0))))/100),2))))</f>
        <v/>
      </c>
      <c r="L24" s="27">
        <f>IF(G24="","",IF(NOT(ISNUMBER(G24)),"Revisa",ROUND(ROUND(G24*(1+N($K$8)/100)/$O$7,0)*$O$7,2)))</f>
        <v/>
      </c>
      <c r="M24" s="27">
        <f>IF(G24="","",IF(NOT(ISNUMBER(G24)),"Revisa",ROUND(ROUND(G24*(1+N($K$9)/100)/$O$7,0)*$O$7,2)))</f>
        <v/>
      </c>
      <c r="N24" s="27">
        <f>IF(G24="","",IF(NOT(ISNUMBER(G24)),"Revisa",ROUND(ROUND(G24*(1+N($K$10)/100)/$O$7,0)*$O$7,2)))</f>
        <v/>
      </c>
      <c r="O24">
        <f>IF(B24="","",MAX($O$12:O23)+1)</f>
        <v/>
      </c>
      <c r="P24">
        <f>IF(AND(B24="",G24&lt;&gt;""),1,0)</f>
        <v/>
      </c>
    </row>
    <row r="25">
      <c r="A25" s="21" t="n"/>
      <c r="B25" s="21" t="n"/>
      <c r="C25" s="21" t="n"/>
      <c r="D25" s="22" t="n"/>
      <c r="E25" s="21" t="n"/>
      <c r="F25" s="23" t="n"/>
      <c r="G25" s="24" t="n"/>
      <c r="H25" s="25" t="n"/>
      <c r="I25" s="26">
        <f>IF(OR(NOT(ISNUMBER(G25)),N(D25)&lt;=1),"",ROUND(G25/D25,3))</f>
        <v/>
      </c>
      <c r="J25" s="27">
        <f>IF(G25="","",IF(NOT(ISNUMBER(G25)),"Revisa",IF(H25="","Falta IVA",ROUND(G25*(1+H25/100),2))))</f>
        <v/>
      </c>
      <c r="K25" s="27">
        <f>IF(G25="","",IF(NOT(ISNUMBER(G25)),"Revisa",IF(H25="","Falta IVA",ROUND(G25*(1+(H25+IF(H25=21,5.2,IF(H25=10,1.4,IF(H25=4,0.5,0))))/100),2))))</f>
        <v/>
      </c>
      <c r="L25" s="27">
        <f>IF(G25="","",IF(NOT(ISNUMBER(G25)),"Revisa",ROUND(ROUND(G25*(1+N($K$8)/100)/$O$7,0)*$O$7,2)))</f>
        <v/>
      </c>
      <c r="M25" s="27">
        <f>IF(G25="","",IF(NOT(ISNUMBER(G25)),"Revisa",ROUND(ROUND(G25*(1+N($K$9)/100)/$O$7,0)*$O$7,2)))</f>
        <v/>
      </c>
      <c r="N25" s="27">
        <f>IF(G25="","",IF(NOT(ISNUMBER(G25)),"Revisa",ROUND(ROUND(G25*(1+N($K$10)/100)/$O$7,0)*$O$7,2)))</f>
        <v/>
      </c>
      <c r="O25">
        <f>IF(B25="","",MAX($O$12:O24)+1)</f>
        <v/>
      </c>
      <c r="P25">
        <f>IF(AND(B25="",G25&lt;&gt;""),1,0)</f>
        <v/>
      </c>
    </row>
    <row r="26">
      <c r="A26" s="21" t="n"/>
      <c r="B26" s="21" t="n"/>
      <c r="C26" s="21" t="n"/>
      <c r="D26" s="22" t="n"/>
      <c r="E26" s="21" t="n"/>
      <c r="F26" s="23" t="n"/>
      <c r="G26" s="24" t="n"/>
      <c r="H26" s="25" t="n"/>
      <c r="I26" s="26">
        <f>IF(OR(NOT(ISNUMBER(G26)),N(D26)&lt;=1),"",ROUND(G26/D26,3))</f>
        <v/>
      </c>
      <c r="J26" s="27">
        <f>IF(G26="","",IF(NOT(ISNUMBER(G26)),"Revisa",IF(H26="","Falta IVA",ROUND(G26*(1+H26/100),2))))</f>
        <v/>
      </c>
      <c r="K26" s="27">
        <f>IF(G26="","",IF(NOT(ISNUMBER(G26)),"Revisa",IF(H26="","Falta IVA",ROUND(G26*(1+(H26+IF(H26=21,5.2,IF(H26=10,1.4,IF(H26=4,0.5,0))))/100),2))))</f>
        <v/>
      </c>
      <c r="L26" s="27">
        <f>IF(G26="","",IF(NOT(ISNUMBER(G26)),"Revisa",ROUND(ROUND(G26*(1+N($K$8)/100)/$O$7,0)*$O$7,2)))</f>
        <v/>
      </c>
      <c r="M26" s="27">
        <f>IF(G26="","",IF(NOT(ISNUMBER(G26)),"Revisa",ROUND(ROUND(G26*(1+N($K$9)/100)/$O$7,0)*$O$7,2)))</f>
        <v/>
      </c>
      <c r="N26" s="27">
        <f>IF(G26="","",IF(NOT(ISNUMBER(G26)),"Revisa",ROUND(ROUND(G26*(1+N($K$10)/100)/$O$7,0)*$O$7,2)))</f>
        <v/>
      </c>
      <c r="O26">
        <f>IF(B26="","",MAX($O$12:O25)+1)</f>
        <v/>
      </c>
      <c r="P26">
        <f>IF(AND(B26="",G26&lt;&gt;""),1,0)</f>
        <v/>
      </c>
    </row>
    <row r="27">
      <c r="A27" s="21" t="n"/>
      <c r="B27" s="21" t="n"/>
      <c r="C27" s="21" t="n"/>
      <c r="D27" s="22" t="n"/>
      <c r="E27" s="21" t="n"/>
      <c r="F27" s="23" t="n"/>
      <c r="G27" s="24" t="n"/>
      <c r="H27" s="25" t="n"/>
      <c r="I27" s="26">
        <f>IF(OR(NOT(ISNUMBER(G27)),N(D27)&lt;=1),"",ROUND(G27/D27,3))</f>
        <v/>
      </c>
      <c r="J27" s="27">
        <f>IF(G27="","",IF(NOT(ISNUMBER(G27)),"Revisa",IF(H27="","Falta IVA",ROUND(G27*(1+H27/100),2))))</f>
        <v/>
      </c>
      <c r="K27" s="27">
        <f>IF(G27="","",IF(NOT(ISNUMBER(G27)),"Revisa",IF(H27="","Falta IVA",ROUND(G27*(1+(H27+IF(H27=21,5.2,IF(H27=10,1.4,IF(H27=4,0.5,0))))/100),2))))</f>
        <v/>
      </c>
      <c r="L27" s="27">
        <f>IF(G27="","",IF(NOT(ISNUMBER(G27)),"Revisa",ROUND(ROUND(G27*(1+N($K$8)/100)/$O$7,0)*$O$7,2)))</f>
        <v/>
      </c>
      <c r="M27" s="27">
        <f>IF(G27="","",IF(NOT(ISNUMBER(G27)),"Revisa",ROUND(ROUND(G27*(1+N($K$9)/100)/$O$7,0)*$O$7,2)))</f>
        <v/>
      </c>
      <c r="N27" s="27">
        <f>IF(G27="","",IF(NOT(ISNUMBER(G27)),"Revisa",ROUND(ROUND(G27*(1+N($K$10)/100)/$O$7,0)*$O$7,2)))</f>
        <v/>
      </c>
      <c r="O27">
        <f>IF(B27="","",MAX($O$12:O26)+1)</f>
        <v/>
      </c>
      <c r="P27">
        <f>IF(AND(B27="",G27&lt;&gt;""),1,0)</f>
        <v/>
      </c>
    </row>
    <row r="28">
      <c r="A28" s="21" t="n"/>
      <c r="B28" s="21" t="n"/>
      <c r="C28" s="21" t="n"/>
      <c r="D28" s="22" t="n"/>
      <c r="E28" s="21" t="n"/>
      <c r="F28" s="23" t="n"/>
      <c r="G28" s="24" t="n"/>
      <c r="H28" s="25" t="n"/>
      <c r="I28" s="26">
        <f>IF(OR(NOT(ISNUMBER(G28)),N(D28)&lt;=1),"",ROUND(G28/D28,3))</f>
        <v/>
      </c>
      <c r="J28" s="27">
        <f>IF(G28="","",IF(NOT(ISNUMBER(G28)),"Revisa",IF(H28="","Falta IVA",ROUND(G28*(1+H28/100),2))))</f>
        <v/>
      </c>
      <c r="K28" s="27">
        <f>IF(G28="","",IF(NOT(ISNUMBER(G28)),"Revisa",IF(H28="","Falta IVA",ROUND(G28*(1+(H28+IF(H28=21,5.2,IF(H28=10,1.4,IF(H28=4,0.5,0))))/100),2))))</f>
        <v/>
      </c>
      <c r="L28" s="27">
        <f>IF(G28="","",IF(NOT(ISNUMBER(G28)),"Revisa",ROUND(ROUND(G28*(1+N($K$8)/100)/$O$7,0)*$O$7,2)))</f>
        <v/>
      </c>
      <c r="M28" s="27">
        <f>IF(G28="","",IF(NOT(ISNUMBER(G28)),"Revisa",ROUND(ROUND(G28*(1+N($K$9)/100)/$O$7,0)*$O$7,2)))</f>
        <v/>
      </c>
      <c r="N28" s="27">
        <f>IF(G28="","",IF(NOT(ISNUMBER(G28)),"Revisa",ROUND(ROUND(G28*(1+N($K$10)/100)/$O$7,0)*$O$7,2)))</f>
        <v/>
      </c>
      <c r="O28">
        <f>IF(B28="","",MAX($O$12:O27)+1)</f>
        <v/>
      </c>
      <c r="P28">
        <f>IF(AND(B28="",G28&lt;&gt;""),1,0)</f>
        <v/>
      </c>
    </row>
    <row r="29">
      <c r="A29" s="21" t="n"/>
      <c r="B29" s="21" t="n"/>
      <c r="C29" s="21" t="n"/>
      <c r="D29" s="22" t="n"/>
      <c r="E29" s="21" t="n"/>
      <c r="F29" s="23" t="n"/>
      <c r="G29" s="24" t="n"/>
      <c r="H29" s="25" t="n"/>
      <c r="I29" s="26">
        <f>IF(OR(NOT(ISNUMBER(G29)),N(D29)&lt;=1),"",ROUND(G29/D29,3))</f>
        <v/>
      </c>
      <c r="J29" s="27">
        <f>IF(G29="","",IF(NOT(ISNUMBER(G29)),"Revisa",IF(H29="","Falta IVA",ROUND(G29*(1+H29/100),2))))</f>
        <v/>
      </c>
      <c r="K29" s="27">
        <f>IF(G29="","",IF(NOT(ISNUMBER(G29)),"Revisa",IF(H29="","Falta IVA",ROUND(G29*(1+(H29+IF(H29=21,5.2,IF(H29=10,1.4,IF(H29=4,0.5,0))))/100),2))))</f>
        <v/>
      </c>
      <c r="L29" s="27">
        <f>IF(G29="","",IF(NOT(ISNUMBER(G29)),"Revisa",ROUND(ROUND(G29*(1+N($K$8)/100)/$O$7,0)*$O$7,2)))</f>
        <v/>
      </c>
      <c r="M29" s="27">
        <f>IF(G29="","",IF(NOT(ISNUMBER(G29)),"Revisa",ROUND(ROUND(G29*(1+N($K$9)/100)/$O$7,0)*$O$7,2)))</f>
        <v/>
      </c>
      <c r="N29" s="27">
        <f>IF(G29="","",IF(NOT(ISNUMBER(G29)),"Revisa",ROUND(ROUND(G29*(1+N($K$10)/100)/$O$7,0)*$O$7,2)))</f>
        <v/>
      </c>
      <c r="O29">
        <f>IF(B29="","",MAX($O$12:O28)+1)</f>
        <v/>
      </c>
      <c r="P29">
        <f>IF(AND(B29="",G29&lt;&gt;""),1,0)</f>
        <v/>
      </c>
    </row>
    <row r="30">
      <c r="A30" s="21" t="n"/>
      <c r="B30" s="21" t="n"/>
      <c r="C30" s="21" t="n"/>
      <c r="D30" s="22" t="n"/>
      <c r="E30" s="21" t="n"/>
      <c r="F30" s="23" t="n"/>
      <c r="G30" s="24" t="n"/>
      <c r="H30" s="25" t="n"/>
      <c r="I30" s="26">
        <f>IF(OR(NOT(ISNUMBER(G30)),N(D30)&lt;=1),"",ROUND(G30/D30,3))</f>
        <v/>
      </c>
      <c r="J30" s="27">
        <f>IF(G30="","",IF(NOT(ISNUMBER(G30)),"Revisa",IF(H30="","Falta IVA",ROUND(G30*(1+H30/100),2))))</f>
        <v/>
      </c>
      <c r="K30" s="27">
        <f>IF(G30="","",IF(NOT(ISNUMBER(G30)),"Revisa",IF(H30="","Falta IVA",ROUND(G30*(1+(H30+IF(H30=21,5.2,IF(H30=10,1.4,IF(H30=4,0.5,0))))/100),2))))</f>
        <v/>
      </c>
      <c r="L30" s="27">
        <f>IF(G30="","",IF(NOT(ISNUMBER(G30)),"Revisa",ROUND(ROUND(G30*(1+N($K$8)/100)/$O$7,0)*$O$7,2)))</f>
        <v/>
      </c>
      <c r="M30" s="27">
        <f>IF(G30="","",IF(NOT(ISNUMBER(G30)),"Revisa",ROUND(ROUND(G30*(1+N($K$9)/100)/$O$7,0)*$O$7,2)))</f>
        <v/>
      </c>
      <c r="N30" s="27">
        <f>IF(G30="","",IF(NOT(ISNUMBER(G30)),"Revisa",ROUND(ROUND(G30*(1+N($K$10)/100)/$O$7,0)*$O$7,2)))</f>
        <v/>
      </c>
      <c r="O30">
        <f>IF(B30="","",MAX($O$12:O29)+1)</f>
        <v/>
      </c>
      <c r="P30">
        <f>IF(AND(B30="",G30&lt;&gt;""),1,0)</f>
        <v/>
      </c>
    </row>
    <row r="31">
      <c r="A31" s="21" t="n"/>
      <c r="B31" s="21" t="n"/>
      <c r="C31" s="21" t="n"/>
      <c r="D31" s="22" t="n"/>
      <c r="E31" s="21" t="n"/>
      <c r="F31" s="23" t="n"/>
      <c r="G31" s="24" t="n"/>
      <c r="H31" s="25" t="n"/>
      <c r="I31" s="26">
        <f>IF(OR(NOT(ISNUMBER(G31)),N(D31)&lt;=1),"",ROUND(G31/D31,3))</f>
        <v/>
      </c>
      <c r="J31" s="27">
        <f>IF(G31="","",IF(NOT(ISNUMBER(G31)),"Revisa",IF(H31="","Falta IVA",ROUND(G31*(1+H31/100),2))))</f>
        <v/>
      </c>
      <c r="K31" s="27">
        <f>IF(G31="","",IF(NOT(ISNUMBER(G31)),"Revisa",IF(H31="","Falta IVA",ROUND(G31*(1+(H31+IF(H31=21,5.2,IF(H31=10,1.4,IF(H31=4,0.5,0))))/100),2))))</f>
        <v/>
      </c>
      <c r="L31" s="27">
        <f>IF(G31="","",IF(NOT(ISNUMBER(G31)),"Revisa",ROUND(ROUND(G31*(1+N($K$8)/100)/$O$7,0)*$O$7,2)))</f>
        <v/>
      </c>
      <c r="M31" s="27">
        <f>IF(G31="","",IF(NOT(ISNUMBER(G31)),"Revisa",ROUND(ROUND(G31*(1+N($K$9)/100)/$O$7,0)*$O$7,2)))</f>
        <v/>
      </c>
      <c r="N31" s="27">
        <f>IF(G31="","",IF(NOT(ISNUMBER(G31)),"Revisa",ROUND(ROUND(G31*(1+N($K$10)/100)/$O$7,0)*$O$7,2)))</f>
        <v/>
      </c>
      <c r="O31">
        <f>IF(B31="","",MAX($O$12:O30)+1)</f>
        <v/>
      </c>
      <c r="P31">
        <f>IF(AND(B31="",G31&lt;&gt;""),1,0)</f>
        <v/>
      </c>
    </row>
    <row r="32">
      <c r="A32" s="21" t="n"/>
      <c r="B32" s="21" t="n"/>
      <c r="C32" s="21" t="n"/>
      <c r="D32" s="22" t="n"/>
      <c r="E32" s="21" t="n"/>
      <c r="F32" s="23" t="n"/>
      <c r="G32" s="24" t="n"/>
      <c r="H32" s="25" t="n"/>
      <c r="I32" s="26">
        <f>IF(OR(NOT(ISNUMBER(G32)),N(D32)&lt;=1),"",ROUND(G32/D32,3))</f>
        <v/>
      </c>
      <c r="J32" s="27">
        <f>IF(G32="","",IF(NOT(ISNUMBER(G32)),"Revisa",IF(H32="","Falta IVA",ROUND(G32*(1+H32/100),2))))</f>
        <v/>
      </c>
      <c r="K32" s="27">
        <f>IF(G32="","",IF(NOT(ISNUMBER(G32)),"Revisa",IF(H32="","Falta IVA",ROUND(G32*(1+(H32+IF(H32=21,5.2,IF(H32=10,1.4,IF(H32=4,0.5,0))))/100),2))))</f>
        <v/>
      </c>
      <c r="L32" s="27">
        <f>IF(G32="","",IF(NOT(ISNUMBER(G32)),"Revisa",ROUND(ROUND(G32*(1+N($K$8)/100)/$O$7,0)*$O$7,2)))</f>
        <v/>
      </c>
      <c r="M32" s="27">
        <f>IF(G32="","",IF(NOT(ISNUMBER(G32)),"Revisa",ROUND(ROUND(G32*(1+N($K$9)/100)/$O$7,0)*$O$7,2)))</f>
        <v/>
      </c>
      <c r="N32" s="27">
        <f>IF(G32="","",IF(NOT(ISNUMBER(G32)),"Revisa",ROUND(ROUND(G32*(1+N($K$10)/100)/$O$7,0)*$O$7,2)))</f>
        <v/>
      </c>
      <c r="O32">
        <f>IF(B32="","",MAX($O$12:O31)+1)</f>
        <v/>
      </c>
      <c r="P32">
        <f>IF(AND(B32="",G32&lt;&gt;""),1,0)</f>
        <v/>
      </c>
    </row>
    <row r="33">
      <c r="A33" s="21" t="n"/>
      <c r="B33" s="21" t="n"/>
      <c r="C33" s="21" t="n"/>
      <c r="D33" s="22" t="n"/>
      <c r="E33" s="21" t="n"/>
      <c r="F33" s="23" t="n"/>
      <c r="G33" s="24" t="n"/>
      <c r="H33" s="25" t="n"/>
      <c r="I33" s="26">
        <f>IF(OR(NOT(ISNUMBER(G33)),N(D33)&lt;=1),"",ROUND(G33/D33,3))</f>
        <v/>
      </c>
      <c r="J33" s="27">
        <f>IF(G33="","",IF(NOT(ISNUMBER(G33)),"Revisa",IF(H33="","Falta IVA",ROUND(G33*(1+H33/100),2))))</f>
        <v/>
      </c>
      <c r="K33" s="27">
        <f>IF(G33="","",IF(NOT(ISNUMBER(G33)),"Revisa",IF(H33="","Falta IVA",ROUND(G33*(1+(H33+IF(H33=21,5.2,IF(H33=10,1.4,IF(H33=4,0.5,0))))/100),2))))</f>
        <v/>
      </c>
      <c r="L33" s="27">
        <f>IF(G33="","",IF(NOT(ISNUMBER(G33)),"Revisa",ROUND(ROUND(G33*(1+N($K$8)/100)/$O$7,0)*$O$7,2)))</f>
        <v/>
      </c>
      <c r="M33" s="27">
        <f>IF(G33="","",IF(NOT(ISNUMBER(G33)),"Revisa",ROUND(ROUND(G33*(1+N($K$9)/100)/$O$7,0)*$O$7,2)))</f>
        <v/>
      </c>
      <c r="N33" s="27">
        <f>IF(G33="","",IF(NOT(ISNUMBER(G33)),"Revisa",ROUND(ROUND(G33*(1+N($K$10)/100)/$O$7,0)*$O$7,2)))</f>
        <v/>
      </c>
      <c r="O33">
        <f>IF(B33="","",MAX($O$12:O32)+1)</f>
        <v/>
      </c>
      <c r="P33">
        <f>IF(AND(B33="",G33&lt;&gt;""),1,0)</f>
        <v/>
      </c>
    </row>
    <row r="34">
      <c r="A34" s="21" t="n"/>
      <c r="B34" s="21" t="n"/>
      <c r="C34" s="21" t="n"/>
      <c r="D34" s="22" t="n"/>
      <c r="E34" s="21" t="n"/>
      <c r="F34" s="23" t="n"/>
      <c r="G34" s="24" t="n"/>
      <c r="H34" s="25" t="n"/>
      <c r="I34" s="26">
        <f>IF(OR(NOT(ISNUMBER(G34)),N(D34)&lt;=1),"",ROUND(G34/D34,3))</f>
        <v/>
      </c>
      <c r="J34" s="27">
        <f>IF(G34="","",IF(NOT(ISNUMBER(G34)),"Revisa",IF(H34="","Falta IVA",ROUND(G34*(1+H34/100),2))))</f>
        <v/>
      </c>
      <c r="K34" s="27">
        <f>IF(G34="","",IF(NOT(ISNUMBER(G34)),"Revisa",IF(H34="","Falta IVA",ROUND(G34*(1+(H34+IF(H34=21,5.2,IF(H34=10,1.4,IF(H34=4,0.5,0))))/100),2))))</f>
        <v/>
      </c>
      <c r="L34" s="27">
        <f>IF(G34="","",IF(NOT(ISNUMBER(G34)),"Revisa",ROUND(ROUND(G34*(1+N($K$8)/100)/$O$7,0)*$O$7,2)))</f>
        <v/>
      </c>
      <c r="M34" s="27">
        <f>IF(G34="","",IF(NOT(ISNUMBER(G34)),"Revisa",ROUND(ROUND(G34*(1+N($K$9)/100)/$O$7,0)*$O$7,2)))</f>
        <v/>
      </c>
      <c r="N34" s="27">
        <f>IF(G34="","",IF(NOT(ISNUMBER(G34)),"Revisa",ROUND(ROUND(G34*(1+N($K$10)/100)/$O$7,0)*$O$7,2)))</f>
        <v/>
      </c>
      <c r="O34">
        <f>IF(B34="","",MAX($O$12:O33)+1)</f>
        <v/>
      </c>
      <c r="P34">
        <f>IF(AND(B34="",G34&lt;&gt;""),1,0)</f>
        <v/>
      </c>
    </row>
    <row r="35">
      <c r="A35" s="21" t="n"/>
      <c r="B35" s="21" t="n"/>
      <c r="C35" s="21" t="n"/>
      <c r="D35" s="22" t="n"/>
      <c r="E35" s="21" t="n"/>
      <c r="F35" s="23" t="n"/>
      <c r="G35" s="24" t="n"/>
      <c r="H35" s="25" t="n"/>
      <c r="I35" s="26">
        <f>IF(OR(NOT(ISNUMBER(G35)),N(D35)&lt;=1),"",ROUND(G35/D35,3))</f>
        <v/>
      </c>
      <c r="J35" s="27">
        <f>IF(G35="","",IF(NOT(ISNUMBER(G35)),"Revisa",IF(H35="","Falta IVA",ROUND(G35*(1+H35/100),2))))</f>
        <v/>
      </c>
      <c r="K35" s="27">
        <f>IF(G35="","",IF(NOT(ISNUMBER(G35)),"Revisa",IF(H35="","Falta IVA",ROUND(G35*(1+(H35+IF(H35=21,5.2,IF(H35=10,1.4,IF(H35=4,0.5,0))))/100),2))))</f>
        <v/>
      </c>
      <c r="L35" s="27">
        <f>IF(G35="","",IF(NOT(ISNUMBER(G35)),"Revisa",ROUND(ROUND(G35*(1+N($K$8)/100)/$O$7,0)*$O$7,2)))</f>
        <v/>
      </c>
      <c r="M35" s="27">
        <f>IF(G35="","",IF(NOT(ISNUMBER(G35)),"Revisa",ROUND(ROUND(G35*(1+N($K$9)/100)/$O$7,0)*$O$7,2)))</f>
        <v/>
      </c>
      <c r="N35" s="27">
        <f>IF(G35="","",IF(NOT(ISNUMBER(G35)),"Revisa",ROUND(ROUND(G35*(1+N($K$10)/100)/$O$7,0)*$O$7,2)))</f>
        <v/>
      </c>
      <c r="O35">
        <f>IF(B35="","",MAX($O$12:O34)+1)</f>
        <v/>
      </c>
      <c r="P35">
        <f>IF(AND(B35="",G35&lt;&gt;""),1,0)</f>
        <v/>
      </c>
    </row>
    <row r="36">
      <c r="A36" s="21" t="n"/>
      <c r="B36" s="21" t="n"/>
      <c r="C36" s="21" t="n"/>
      <c r="D36" s="22" t="n"/>
      <c r="E36" s="21" t="n"/>
      <c r="F36" s="23" t="n"/>
      <c r="G36" s="24" t="n"/>
      <c r="H36" s="25" t="n"/>
      <c r="I36" s="26">
        <f>IF(OR(NOT(ISNUMBER(G36)),N(D36)&lt;=1),"",ROUND(G36/D36,3))</f>
        <v/>
      </c>
      <c r="J36" s="27">
        <f>IF(G36="","",IF(NOT(ISNUMBER(G36)),"Revisa",IF(H36="","Falta IVA",ROUND(G36*(1+H36/100),2))))</f>
        <v/>
      </c>
      <c r="K36" s="27">
        <f>IF(G36="","",IF(NOT(ISNUMBER(G36)),"Revisa",IF(H36="","Falta IVA",ROUND(G36*(1+(H36+IF(H36=21,5.2,IF(H36=10,1.4,IF(H36=4,0.5,0))))/100),2))))</f>
        <v/>
      </c>
      <c r="L36" s="27">
        <f>IF(G36="","",IF(NOT(ISNUMBER(G36)),"Revisa",ROUND(ROUND(G36*(1+N($K$8)/100)/$O$7,0)*$O$7,2)))</f>
        <v/>
      </c>
      <c r="M36" s="27">
        <f>IF(G36="","",IF(NOT(ISNUMBER(G36)),"Revisa",ROUND(ROUND(G36*(1+N($K$9)/100)/$O$7,0)*$O$7,2)))</f>
        <v/>
      </c>
      <c r="N36" s="27">
        <f>IF(G36="","",IF(NOT(ISNUMBER(G36)),"Revisa",ROUND(ROUND(G36*(1+N($K$10)/100)/$O$7,0)*$O$7,2)))</f>
        <v/>
      </c>
      <c r="O36">
        <f>IF(B36="","",MAX($O$12:O35)+1)</f>
        <v/>
      </c>
      <c r="P36">
        <f>IF(AND(B36="",G36&lt;&gt;""),1,0)</f>
        <v/>
      </c>
    </row>
    <row r="37">
      <c r="A37" s="21" t="n"/>
      <c r="B37" s="21" t="n"/>
      <c r="C37" s="21" t="n"/>
      <c r="D37" s="22" t="n"/>
      <c r="E37" s="21" t="n"/>
      <c r="F37" s="23" t="n"/>
      <c r="G37" s="24" t="n"/>
      <c r="H37" s="25" t="n"/>
      <c r="I37" s="26">
        <f>IF(OR(NOT(ISNUMBER(G37)),N(D37)&lt;=1),"",ROUND(G37/D37,3))</f>
        <v/>
      </c>
      <c r="J37" s="27">
        <f>IF(G37="","",IF(NOT(ISNUMBER(G37)),"Revisa",IF(H37="","Falta IVA",ROUND(G37*(1+H37/100),2))))</f>
        <v/>
      </c>
      <c r="K37" s="27">
        <f>IF(G37="","",IF(NOT(ISNUMBER(G37)),"Revisa",IF(H37="","Falta IVA",ROUND(G37*(1+(H37+IF(H37=21,5.2,IF(H37=10,1.4,IF(H37=4,0.5,0))))/100),2))))</f>
        <v/>
      </c>
      <c r="L37" s="27">
        <f>IF(G37="","",IF(NOT(ISNUMBER(G37)),"Revisa",ROUND(ROUND(G37*(1+N($K$8)/100)/$O$7,0)*$O$7,2)))</f>
        <v/>
      </c>
      <c r="M37" s="27">
        <f>IF(G37="","",IF(NOT(ISNUMBER(G37)),"Revisa",ROUND(ROUND(G37*(1+N($K$9)/100)/$O$7,0)*$O$7,2)))</f>
        <v/>
      </c>
      <c r="N37" s="27">
        <f>IF(G37="","",IF(NOT(ISNUMBER(G37)),"Revisa",ROUND(ROUND(G37*(1+N($K$10)/100)/$O$7,0)*$O$7,2)))</f>
        <v/>
      </c>
      <c r="O37">
        <f>IF(B37="","",MAX($O$12:O36)+1)</f>
        <v/>
      </c>
      <c r="P37">
        <f>IF(AND(B37="",G37&lt;&gt;""),1,0)</f>
        <v/>
      </c>
    </row>
    <row r="38">
      <c r="A38" s="21" t="n"/>
      <c r="B38" s="21" t="n"/>
      <c r="C38" s="21" t="n"/>
      <c r="D38" s="22" t="n"/>
      <c r="E38" s="21" t="n"/>
      <c r="F38" s="23" t="n"/>
      <c r="G38" s="24" t="n"/>
      <c r="H38" s="25" t="n"/>
      <c r="I38" s="26">
        <f>IF(OR(NOT(ISNUMBER(G38)),N(D38)&lt;=1),"",ROUND(G38/D38,3))</f>
        <v/>
      </c>
      <c r="J38" s="27">
        <f>IF(G38="","",IF(NOT(ISNUMBER(G38)),"Revisa",IF(H38="","Falta IVA",ROUND(G38*(1+H38/100),2))))</f>
        <v/>
      </c>
      <c r="K38" s="27">
        <f>IF(G38="","",IF(NOT(ISNUMBER(G38)),"Revisa",IF(H38="","Falta IVA",ROUND(G38*(1+(H38+IF(H38=21,5.2,IF(H38=10,1.4,IF(H38=4,0.5,0))))/100),2))))</f>
        <v/>
      </c>
      <c r="L38" s="27">
        <f>IF(G38="","",IF(NOT(ISNUMBER(G38)),"Revisa",ROUND(ROUND(G38*(1+N($K$8)/100)/$O$7,0)*$O$7,2)))</f>
        <v/>
      </c>
      <c r="M38" s="27">
        <f>IF(G38="","",IF(NOT(ISNUMBER(G38)),"Revisa",ROUND(ROUND(G38*(1+N($K$9)/100)/$O$7,0)*$O$7,2)))</f>
        <v/>
      </c>
      <c r="N38" s="27">
        <f>IF(G38="","",IF(NOT(ISNUMBER(G38)),"Revisa",ROUND(ROUND(G38*(1+N($K$10)/100)/$O$7,0)*$O$7,2)))</f>
        <v/>
      </c>
      <c r="O38">
        <f>IF(B38="","",MAX($O$12:O37)+1)</f>
        <v/>
      </c>
      <c r="P38">
        <f>IF(AND(B38="",G38&lt;&gt;""),1,0)</f>
        <v/>
      </c>
    </row>
    <row r="39">
      <c r="A39" s="21" t="n"/>
      <c r="B39" s="21" t="n"/>
      <c r="C39" s="21" t="n"/>
      <c r="D39" s="22" t="n"/>
      <c r="E39" s="21" t="n"/>
      <c r="F39" s="23" t="n"/>
      <c r="G39" s="24" t="n"/>
      <c r="H39" s="25" t="n"/>
      <c r="I39" s="26">
        <f>IF(OR(NOT(ISNUMBER(G39)),N(D39)&lt;=1),"",ROUND(G39/D39,3))</f>
        <v/>
      </c>
      <c r="J39" s="27">
        <f>IF(G39="","",IF(NOT(ISNUMBER(G39)),"Revisa",IF(H39="","Falta IVA",ROUND(G39*(1+H39/100),2))))</f>
        <v/>
      </c>
      <c r="K39" s="27">
        <f>IF(G39="","",IF(NOT(ISNUMBER(G39)),"Revisa",IF(H39="","Falta IVA",ROUND(G39*(1+(H39+IF(H39=21,5.2,IF(H39=10,1.4,IF(H39=4,0.5,0))))/100),2))))</f>
        <v/>
      </c>
      <c r="L39" s="27">
        <f>IF(G39="","",IF(NOT(ISNUMBER(G39)),"Revisa",ROUND(ROUND(G39*(1+N($K$8)/100)/$O$7,0)*$O$7,2)))</f>
        <v/>
      </c>
      <c r="M39" s="27">
        <f>IF(G39="","",IF(NOT(ISNUMBER(G39)),"Revisa",ROUND(ROUND(G39*(1+N($K$9)/100)/$O$7,0)*$O$7,2)))</f>
        <v/>
      </c>
      <c r="N39" s="27">
        <f>IF(G39="","",IF(NOT(ISNUMBER(G39)),"Revisa",ROUND(ROUND(G39*(1+N($K$10)/100)/$O$7,0)*$O$7,2)))</f>
        <v/>
      </c>
      <c r="O39">
        <f>IF(B39="","",MAX($O$12:O38)+1)</f>
        <v/>
      </c>
      <c r="P39">
        <f>IF(AND(B39="",G39&lt;&gt;""),1,0)</f>
        <v/>
      </c>
    </row>
    <row r="40">
      <c r="A40" s="21" t="n"/>
      <c r="B40" s="21" t="n"/>
      <c r="C40" s="21" t="n"/>
      <c r="D40" s="22" t="n"/>
      <c r="E40" s="21" t="n"/>
      <c r="F40" s="23" t="n"/>
      <c r="G40" s="24" t="n"/>
      <c r="H40" s="25" t="n"/>
      <c r="I40" s="26">
        <f>IF(OR(NOT(ISNUMBER(G40)),N(D40)&lt;=1),"",ROUND(G40/D40,3))</f>
        <v/>
      </c>
      <c r="J40" s="27">
        <f>IF(G40="","",IF(NOT(ISNUMBER(G40)),"Revisa",IF(H40="","Falta IVA",ROUND(G40*(1+H40/100),2))))</f>
        <v/>
      </c>
      <c r="K40" s="27">
        <f>IF(G40="","",IF(NOT(ISNUMBER(G40)),"Revisa",IF(H40="","Falta IVA",ROUND(G40*(1+(H40+IF(H40=21,5.2,IF(H40=10,1.4,IF(H40=4,0.5,0))))/100),2))))</f>
        <v/>
      </c>
      <c r="L40" s="27">
        <f>IF(G40="","",IF(NOT(ISNUMBER(G40)),"Revisa",ROUND(ROUND(G40*(1+N($K$8)/100)/$O$7,0)*$O$7,2)))</f>
        <v/>
      </c>
      <c r="M40" s="27">
        <f>IF(G40="","",IF(NOT(ISNUMBER(G40)),"Revisa",ROUND(ROUND(G40*(1+N($K$9)/100)/$O$7,0)*$O$7,2)))</f>
        <v/>
      </c>
      <c r="N40" s="27">
        <f>IF(G40="","",IF(NOT(ISNUMBER(G40)),"Revisa",ROUND(ROUND(G40*(1+N($K$10)/100)/$O$7,0)*$O$7,2)))</f>
        <v/>
      </c>
      <c r="O40">
        <f>IF(B40="","",MAX($O$12:O39)+1)</f>
        <v/>
      </c>
      <c r="P40">
        <f>IF(AND(B40="",G40&lt;&gt;""),1,0)</f>
        <v/>
      </c>
    </row>
    <row r="41">
      <c r="A41" s="21" t="n"/>
      <c r="B41" s="21" t="n"/>
      <c r="C41" s="21" t="n"/>
      <c r="D41" s="22" t="n"/>
      <c r="E41" s="21" t="n"/>
      <c r="F41" s="23" t="n"/>
      <c r="G41" s="24" t="n"/>
      <c r="H41" s="25" t="n"/>
      <c r="I41" s="26">
        <f>IF(OR(NOT(ISNUMBER(G41)),N(D41)&lt;=1),"",ROUND(G41/D41,3))</f>
        <v/>
      </c>
      <c r="J41" s="27">
        <f>IF(G41="","",IF(NOT(ISNUMBER(G41)),"Revisa",IF(H41="","Falta IVA",ROUND(G41*(1+H41/100),2))))</f>
        <v/>
      </c>
      <c r="K41" s="27">
        <f>IF(G41="","",IF(NOT(ISNUMBER(G41)),"Revisa",IF(H41="","Falta IVA",ROUND(G41*(1+(H41+IF(H41=21,5.2,IF(H41=10,1.4,IF(H41=4,0.5,0))))/100),2))))</f>
        <v/>
      </c>
      <c r="L41" s="27">
        <f>IF(G41="","",IF(NOT(ISNUMBER(G41)),"Revisa",ROUND(ROUND(G41*(1+N($K$8)/100)/$O$7,0)*$O$7,2)))</f>
        <v/>
      </c>
      <c r="M41" s="27">
        <f>IF(G41="","",IF(NOT(ISNUMBER(G41)),"Revisa",ROUND(ROUND(G41*(1+N($K$9)/100)/$O$7,0)*$O$7,2)))</f>
        <v/>
      </c>
      <c r="N41" s="27">
        <f>IF(G41="","",IF(NOT(ISNUMBER(G41)),"Revisa",ROUND(ROUND(G41*(1+N($K$10)/100)/$O$7,0)*$O$7,2)))</f>
        <v/>
      </c>
      <c r="O41">
        <f>IF(B41="","",MAX($O$12:O40)+1)</f>
        <v/>
      </c>
      <c r="P41">
        <f>IF(AND(B41="",G41&lt;&gt;""),1,0)</f>
        <v/>
      </c>
    </row>
    <row r="42">
      <c r="A42" s="21" t="n"/>
      <c r="B42" s="21" t="n"/>
      <c r="C42" s="21" t="n"/>
      <c r="D42" s="22" t="n"/>
      <c r="E42" s="21" t="n"/>
      <c r="F42" s="23" t="n"/>
      <c r="G42" s="24" t="n"/>
      <c r="H42" s="25" t="n"/>
      <c r="I42" s="26">
        <f>IF(OR(NOT(ISNUMBER(G42)),N(D42)&lt;=1),"",ROUND(G42/D42,3))</f>
        <v/>
      </c>
      <c r="J42" s="27">
        <f>IF(G42="","",IF(NOT(ISNUMBER(G42)),"Revisa",IF(H42="","Falta IVA",ROUND(G42*(1+H42/100),2))))</f>
        <v/>
      </c>
      <c r="K42" s="27">
        <f>IF(G42="","",IF(NOT(ISNUMBER(G42)),"Revisa",IF(H42="","Falta IVA",ROUND(G42*(1+(H42+IF(H42=21,5.2,IF(H42=10,1.4,IF(H42=4,0.5,0))))/100),2))))</f>
        <v/>
      </c>
      <c r="L42" s="27">
        <f>IF(G42="","",IF(NOT(ISNUMBER(G42)),"Revisa",ROUND(ROUND(G42*(1+N($K$8)/100)/$O$7,0)*$O$7,2)))</f>
        <v/>
      </c>
      <c r="M42" s="27">
        <f>IF(G42="","",IF(NOT(ISNUMBER(G42)),"Revisa",ROUND(ROUND(G42*(1+N($K$9)/100)/$O$7,0)*$O$7,2)))</f>
        <v/>
      </c>
      <c r="N42" s="27">
        <f>IF(G42="","",IF(NOT(ISNUMBER(G42)),"Revisa",ROUND(ROUND(G42*(1+N($K$10)/100)/$O$7,0)*$O$7,2)))</f>
        <v/>
      </c>
      <c r="O42">
        <f>IF(B42="","",MAX($O$12:O41)+1)</f>
        <v/>
      </c>
      <c r="P42">
        <f>IF(AND(B42="",G42&lt;&gt;""),1,0)</f>
        <v/>
      </c>
    </row>
    <row r="43">
      <c r="A43" s="21" t="n"/>
      <c r="B43" s="21" t="n"/>
      <c r="C43" s="21" t="n"/>
      <c r="D43" s="22" t="n"/>
      <c r="E43" s="21" t="n"/>
      <c r="F43" s="23" t="n"/>
      <c r="G43" s="24" t="n"/>
      <c r="H43" s="25" t="n"/>
      <c r="I43" s="26">
        <f>IF(OR(NOT(ISNUMBER(G43)),N(D43)&lt;=1),"",ROUND(G43/D43,3))</f>
        <v/>
      </c>
      <c r="J43" s="27">
        <f>IF(G43="","",IF(NOT(ISNUMBER(G43)),"Revisa",IF(H43="","Falta IVA",ROUND(G43*(1+H43/100),2))))</f>
        <v/>
      </c>
      <c r="K43" s="27">
        <f>IF(G43="","",IF(NOT(ISNUMBER(G43)),"Revisa",IF(H43="","Falta IVA",ROUND(G43*(1+(H43+IF(H43=21,5.2,IF(H43=10,1.4,IF(H43=4,0.5,0))))/100),2))))</f>
        <v/>
      </c>
      <c r="L43" s="27">
        <f>IF(G43="","",IF(NOT(ISNUMBER(G43)),"Revisa",ROUND(ROUND(G43*(1+N($K$8)/100)/$O$7,0)*$O$7,2)))</f>
        <v/>
      </c>
      <c r="M43" s="27">
        <f>IF(G43="","",IF(NOT(ISNUMBER(G43)),"Revisa",ROUND(ROUND(G43*(1+N($K$9)/100)/$O$7,0)*$O$7,2)))</f>
        <v/>
      </c>
      <c r="N43" s="27">
        <f>IF(G43="","",IF(NOT(ISNUMBER(G43)),"Revisa",ROUND(ROUND(G43*(1+N($K$10)/100)/$O$7,0)*$O$7,2)))</f>
        <v/>
      </c>
      <c r="O43">
        <f>IF(B43="","",MAX($O$12:O42)+1)</f>
        <v/>
      </c>
      <c r="P43">
        <f>IF(AND(B43="",G43&lt;&gt;""),1,0)</f>
        <v/>
      </c>
    </row>
    <row r="44">
      <c r="A44" s="21" t="n"/>
      <c r="B44" s="21" t="n"/>
      <c r="C44" s="21" t="n"/>
      <c r="D44" s="22" t="n"/>
      <c r="E44" s="21" t="n"/>
      <c r="F44" s="23" t="n"/>
      <c r="G44" s="24" t="n"/>
      <c r="H44" s="25" t="n"/>
      <c r="I44" s="26">
        <f>IF(OR(NOT(ISNUMBER(G44)),N(D44)&lt;=1),"",ROUND(G44/D44,3))</f>
        <v/>
      </c>
      <c r="J44" s="27">
        <f>IF(G44="","",IF(NOT(ISNUMBER(G44)),"Revisa",IF(H44="","Falta IVA",ROUND(G44*(1+H44/100),2))))</f>
        <v/>
      </c>
      <c r="K44" s="27">
        <f>IF(G44="","",IF(NOT(ISNUMBER(G44)),"Revisa",IF(H44="","Falta IVA",ROUND(G44*(1+(H44+IF(H44=21,5.2,IF(H44=10,1.4,IF(H44=4,0.5,0))))/100),2))))</f>
        <v/>
      </c>
      <c r="L44" s="27">
        <f>IF(G44="","",IF(NOT(ISNUMBER(G44)),"Revisa",ROUND(ROUND(G44*(1+N($K$8)/100)/$O$7,0)*$O$7,2)))</f>
        <v/>
      </c>
      <c r="M44" s="27">
        <f>IF(G44="","",IF(NOT(ISNUMBER(G44)),"Revisa",ROUND(ROUND(G44*(1+N($K$9)/100)/$O$7,0)*$O$7,2)))</f>
        <v/>
      </c>
      <c r="N44" s="27">
        <f>IF(G44="","",IF(NOT(ISNUMBER(G44)),"Revisa",ROUND(ROUND(G44*(1+N($K$10)/100)/$O$7,0)*$O$7,2)))</f>
        <v/>
      </c>
      <c r="O44">
        <f>IF(B44="","",MAX($O$12:O43)+1)</f>
        <v/>
      </c>
      <c r="P44">
        <f>IF(AND(B44="",G44&lt;&gt;""),1,0)</f>
        <v/>
      </c>
    </row>
    <row r="45">
      <c r="A45" s="21" t="n"/>
      <c r="B45" s="21" t="n"/>
      <c r="C45" s="21" t="n"/>
      <c r="D45" s="22" t="n"/>
      <c r="E45" s="21" t="n"/>
      <c r="F45" s="23" t="n"/>
      <c r="G45" s="24" t="n"/>
      <c r="H45" s="25" t="n"/>
      <c r="I45" s="26">
        <f>IF(OR(NOT(ISNUMBER(G45)),N(D45)&lt;=1),"",ROUND(G45/D45,3))</f>
        <v/>
      </c>
      <c r="J45" s="27">
        <f>IF(G45="","",IF(NOT(ISNUMBER(G45)),"Revisa",IF(H45="","Falta IVA",ROUND(G45*(1+H45/100),2))))</f>
        <v/>
      </c>
      <c r="K45" s="27">
        <f>IF(G45="","",IF(NOT(ISNUMBER(G45)),"Revisa",IF(H45="","Falta IVA",ROUND(G45*(1+(H45+IF(H45=21,5.2,IF(H45=10,1.4,IF(H45=4,0.5,0))))/100),2))))</f>
        <v/>
      </c>
      <c r="L45" s="27">
        <f>IF(G45="","",IF(NOT(ISNUMBER(G45)),"Revisa",ROUND(ROUND(G45*(1+N($K$8)/100)/$O$7,0)*$O$7,2)))</f>
        <v/>
      </c>
      <c r="M45" s="27">
        <f>IF(G45="","",IF(NOT(ISNUMBER(G45)),"Revisa",ROUND(ROUND(G45*(1+N($K$9)/100)/$O$7,0)*$O$7,2)))</f>
        <v/>
      </c>
      <c r="N45" s="27">
        <f>IF(G45="","",IF(NOT(ISNUMBER(G45)),"Revisa",ROUND(ROUND(G45*(1+N($K$10)/100)/$O$7,0)*$O$7,2)))</f>
        <v/>
      </c>
      <c r="O45">
        <f>IF(B45="","",MAX($O$12:O44)+1)</f>
        <v/>
      </c>
      <c r="P45">
        <f>IF(AND(B45="",G45&lt;&gt;""),1,0)</f>
        <v/>
      </c>
    </row>
    <row r="46">
      <c r="A46" s="21" t="n"/>
      <c r="B46" s="21" t="n"/>
      <c r="C46" s="21" t="n"/>
      <c r="D46" s="22" t="n"/>
      <c r="E46" s="21" t="n"/>
      <c r="F46" s="23" t="n"/>
      <c r="G46" s="24" t="n"/>
      <c r="H46" s="25" t="n"/>
      <c r="I46" s="26">
        <f>IF(OR(NOT(ISNUMBER(G46)),N(D46)&lt;=1),"",ROUND(G46/D46,3))</f>
        <v/>
      </c>
      <c r="J46" s="27">
        <f>IF(G46="","",IF(NOT(ISNUMBER(G46)),"Revisa",IF(H46="","Falta IVA",ROUND(G46*(1+H46/100),2))))</f>
        <v/>
      </c>
      <c r="K46" s="27">
        <f>IF(G46="","",IF(NOT(ISNUMBER(G46)),"Revisa",IF(H46="","Falta IVA",ROUND(G46*(1+(H46+IF(H46=21,5.2,IF(H46=10,1.4,IF(H46=4,0.5,0))))/100),2))))</f>
        <v/>
      </c>
      <c r="L46" s="27">
        <f>IF(G46="","",IF(NOT(ISNUMBER(G46)),"Revisa",ROUND(ROUND(G46*(1+N($K$8)/100)/$O$7,0)*$O$7,2)))</f>
        <v/>
      </c>
      <c r="M46" s="27">
        <f>IF(G46="","",IF(NOT(ISNUMBER(G46)),"Revisa",ROUND(ROUND(G46*(1+N($K$9)/100)/$O$7,0)*$O$7,2)))</f>
        <v/>
      </c>
      <c r="N46" s="27">
        <f>IF(G46="","",IF(NOT(ISNUMBER(G46)),"Revisa",ROUND(ROUND(G46*(1+N($K$10)/100)/$O$7,0)*$O$7,2)))</f>
        <v/>
      </c>
      <c r="O46">
        <f>IF(B46="","",MAX($O$12:O45)+1)</f>
        <v/>
      </c>
      <c r="P46">
        <f>IF(AND(B46="",G46&lt;&gt;""),1,0)</f>
        <v/>
      </c>
    </row>
    <row r="47">
      <c r="A47" s="21" t="n"/>
      <c r="B47" s="21" t="n"/>
      <c r="C47" s="21" t="n"/>
      <c r="D47" s="22" t="n"/>
      <c r="E47" s="21" t="n"/>
      <c r="F47" s="23" t="n"/>
      <c r="G47" s="24" t="n"/>
      <c r="H47" s="25" t="n"/>
      <c r="I47" s="26">
        <f>IF(OR(NOT(ISNUMBER(G47)),N(D47)&lt;=1),"",ROUND(G47/D47,3))</f>
        <v/>
      </c>
      <c r="J47" s="27">
        <f>IF(G47="","",IF(NOT(ISNUMBER(G47)),"Revisa",IF(H47="","Falta IVA",ROUND(G47*(1+H47/100),2))))</f>
        <v/>
      </c>
      <c r="K47" s="27">
        <f>IF(G47="","",IF(NOT(ISNUMBER(G47)),"Revisa",IF(H47="","Falta IVA",ROUND(G47*(1+(H47+IF(H47=21,5.2,IF(H47=10,1.4,IF(H47=4,0.5,0))))/100),2))))</f>
        <v/>
      </c>
      <c r="L47" s="27">
        <f>IF(G47="","",IF(NOT(ISNUMBER(G47)),"Revisa",ROUND(ROUND(G47*(1+N($K$8)/100)/$O$7,0)*$O$7,2)))</f>
        <v/>
      </c>
      <c r="M47" s="27">
        <f>IF(G47="","",IF(NOT(ISNUMBER(G47)),"Revisa",ROUND(ROUND(G47*(1+N($K$9)/100)/$O$7,0)*$O$7,2)))</f>
        <v/>
      </c>
      <c r="N47" s="27">
        <f>IF(G47="","",IF(NOT(ISNUMBER(G47)),"Revisa",ROUND(ROUND(G47*(1+N($K$10)/100)/$O$7,0)*$O$7,2)))</f>
        <v/>
      </c>
      <c r="O47">
        <f>IF(B47="","",MAX($O$12:O46)+1)</f>
        <v/>
      </c>
      <c r="P47">
        <f>IF(AND(B47="",G47&lt;&gt;""),1,0)</f>
        <v/>
      </c>
    </row>
    <row r="48">
      <c r="A48" s="21" t="n"/>
      <c r="B48" s="21" t="n"/>
      <c r="C48" s="21" t="n"/>
      <c r="D48" s="22" t="n"/>
      <c r="E48" s="21" t="n"/>
      <c r="F48" s="23" t="n"/>
      <c r="G48" s="24" t="n"/>
      <c r="H48" s="25" t="n"/>
      <c r="I48" s="26">
        <f>IF(OR(NOT(ISNUMBER(G48)),N(D48)&lt;=1),"",ROUND(G48/D48,3))</f>
        <v/>
      </c>
      <c r="J48" s="27">
        <f>IF(G48="","",IF(NOT(ISNUMBER(G48)),"Revisa",IF(H48="","Falta IVA",ROUND(G48*(1+H48/100),2))))</f>
        <v/>
      </c>
      <c r="K48" s="27">
        <f>IF(G48="","",IF(NOT(ISNUMBER(G48)),"Revisa",IF(H48="","Falta IVA",ROUND(G48*(1+(H48+IF(H48=21,5.2,IF(H48=10,1.4,IF(H48=4,0.5,0))))/100),2))))</f>
        <v/>
      </c>
      <c r="L48" s="27">
        <f>IF(G48="","",IF(NOT(ISNUMBER(G48)),"Revisa",ROUND(ROUND(G48*(1+N($K$8)/100)/$O$7,0)*$O$7,2)))</f>
        <v/>
      </c>
      <c r="M48" s="27">
        <f>IF(G48="","",IF(NOT(ISNUMBER(G48)),"Revisa",ROUND(ROUND(G48*(1+N($K$9)/100)/$O$7,0)*$O$7,2)))</f>
        <v/>
      </c>
      <c r="N48" s="27">
        <f>IF(G48="","",IF(NOT(ISNUMBER(G48)),"Revisa",ROUND(ROUND(G48*(1+N($K$10)/100)/$O$7,0)*$O$7,2)))</f>
        <v/>
      </c>
      <c r="O48">
        <f>IF(B48="","",MAX($O$12:O47)+1)</f>
        <v/>
      </c>
      <c r="P48">
        <f>IF(AND(B48="",G48&lt;&gt;""),1,0)</f>
        <v/>
      </c>
    </row>
    <row r="49">
      <c r="A49" s="21" t="n"/>
      <c r="B49" s="21" t="n"/>
      <c r="C49" s="21" t="n"/>
      <c r="D49" s="22" t="n"/>
      <c r="E49" s="21" t="n"/>
      <c r="F49" s="23" t="n"/>
      <c r="G49" s="24" t="n"/>
      <c r="H49" s="25" t="n"/>
      <c r="I49" s="26">
        <f>IF(OR(NOT(ISNUMBER(G49)),N(D49)&lt;=1),"",ROUND(G49/D49,3))</f>
        <v/>
      </c>
      <c r="J49" s="27">
        <f>IF(G49="","",IF(NOT(ISNUMBER(G49)),"Revisa",IF(H49="","Falta IVA",ROUND(G49*(1+H49/100),2))))</f>
        <v/>
      </c>
      <c r="K49" s="27">
        <f>IF(G49="","",IF(NOT(ISNUMBER(G49)),"Revisa",IF(H49="","Falta IVA",ROUND(G49*(1+(H49+IF(H49=21,5.2,IF(H49=10,1.4,IF(H49=4,0.5,0))))/100),2))))</f>
        <v/>
      </c>
      <c r="L49" s="27">
        <f>IF(G49="","",IF(NOT(ISNUMBER(G49)),"Revisa",ROUND(ROUND(G49*(1+N($K$8)/100)/$O$7,0)*$O$7,2)))</f>
        <v/>
      </c>
      <c r="M49" s="27">
        <f>IF(G49="","",IF(NOT(ISNUMBER(G49)),"Revisa",ROUND(ROUND(G49*(1+N($K$9)/100)/$O$7,0)*$O$7,2)))</f>
        <v/>
      </c>
      <c r="N49" s="27">
        <f>IF(G49="","",IF(NOT(ISNUMBER(G49)),"Revisa",ROUND(ROUND(G49*(1+N($K$10)/100)/$O$7,0)*$O$7,2)))</f>
        <v/>
      </c>
      <c r="O49">
        <f>IF(B49="","",MAX($O$12:O48)+1)</f>
        <v/>
      </c>
      <c r="P49">
        <f>IF(AND(B49="",G49&lt;&gt;""),1,0)</f>
        <v/>
      </c>
    </row>
    <row r="50">
      <c r="A50" s="21" t="n"/>
      <c r="B50" s="21" t="n"/>
      <c r="C50" s="21" t="n"/>
      <c r="D50" s="22" t="n"/>
      <c r="E50" s="21" t="n"/>
      <c r="F50" s="23" t="n"/>
      <c r="G50" s="24" t="n"/>
      <c r="H50" s="25" t="n"/>
      <c r="I50" s="26">
        <f>IF(OR(NOT(ISNUMBER(G50)),N(D50)&lt;=1),"",ROUND(G50/D50,3))</f>
        <v/>
      </c>
      <c r="J50" s="27">
        <f>IF(G50="","",IF(NOT(ISNUMBER(G50)),"Revisa",IF(H50="","Falta IVA",ROUND(G50*(1+H50/100),2))))</f>
        <v/>
      </c>
      <c r="K50" s="27">
        <f>IF(G50="","",IF(NOT(ISNUMBER(G50)),"Revisa",IF(H50="","Falta IVA",ROUND(G50*(1+(H50+IF(H50=21,5.2,IF(H50=10,1.4,IF(H50=4,0.5,0))))/100),2))))</f>
        <v/>
      </c>
      <c r="L50" s="27">
        <f>IF(G50="","",IF(NOT(ISNUMBER(G50)),"Revisa",ROUND(ROUND(G50*(1+N($K$8)/100)/$O$7,0)*$O$7,2)))</f>
        <v/>
      </c>
      <c r="M50" s="27">
        <f>IF(G50="","",IF(NOT(ISNUMBER(G50)),"Revisa",ROUND(ROUND(G50*(1+N($K$9)/100)/$O$7,0)*$O$7,2)))</f>
        <v/>
      </c>
      <c r="N50" s="27">
        <f>IF(G50="","",IF(NOT(ISNUMBER(G50)),"Revisa",ROUND(ROUND(G50*(1+N($K$10)/100)/$O$7,0)*$O$7,2)))</f>
        <v/>
      </c>
      <c r="O50">
        <f>IF(B50="","",MAX($O$12:O49)+1)</f>
        <v/>
      </c>
      <c r="P50">
        <f>IF(AND(B50="",G50&lt;&gt;""),1,0)</f>
        <v/>
      </c>
    </row>
    <row r="51">
      <c r="A51" s="21" t="n"/>
      <c r="B51" s="21" t="n"/>
      <c r="C51" s="21" t="n"/>
      <c r="D51" s="22" t="n"/>
      <c r="E51" s="21" t="n"/>
      <c r="F51" s="23" t="n"/>
      <c r="G51" s="24" t="n"/>
      <c r="H51" s="25" t="n"/>
      <c r="I51" s="26">
        <f>IF(OR(NOT(ISNUMBER(G51)),N(D51)&lt;=1),"",ROUND(G51/D51,3))</f>
        <v/>
      </c>
      <c r="J51" s="27">
        <f>IF(G51="","",IF(NOT(ISNUMBER(G51)),"Revisa",IF(H51="","Falta IVA",ROUND(G51*(1+H51/100),2))))</f>
        <v/>
      </c>
      <c r="K51" s="27">
        <f>IF(G51="","",IF(NOT(ISNUMBER(G51)),"Revisa",IF(H51="","Falta IVA",ROUND(G51*(1+(H51+IF(H51=21,5.2,IF(H51=10,1.4,IF(H51=4,0.5,0))))/100),2))))</f>
        <v/>
      </c>
      <c r="L51" s="27">
        <f>IF(G51="","",IF(NOT(ISNUMBER(G51)),"Revisa",ROUND(ROUND(G51*(1+N($K$8)/100)/$O$7,0)*$O$7,2)))</f>
        <v/>
      </c>
      <c r="M51" s="27">
        <f>IF(G51="","",IF(NOT(ISNUMBER(G51)),"Revisa",ROUND(ROUND(G51*(1+N($K$9)/100)/$O$7,0)*$O$7,2)))</f>
        <v/>
      </c>
      <c r="N51" s="27">
        <f>IF(G51="","",IF(NOT(ISNUMBER(G51)),"Revisa",ROUND(ROUND(G51*(1+N($K$10)/100)/$O$7,0)*$O$7,2)))</f>
        <v/>
      </c>
      <c r="O51">
        <f>IF(B51="","",MAX($O$12:O50)+1)</f>
        <v/>
      </c>
      <c r="P51">
        <f>IF(AND(B51="",G51&lt;&gt;""),1,0)</f>
        <v/>
      </c>
    </row>
    <row r="52">
      <c r="A52" s="21" t="n"/>
      <c r="B52" s="21" t="n"/>
      <c r="C52" s="21" t="n"/>
      <c r="D52" s="22" t="n"/>
      <c r="E52" s="21" t="n"/>
      <c r="F52" s="23" t="n"/>
      <c r="G52" s="24" t="n"/>
      <c r="H52" s="25" t="n"/>
      <c r="I52" s="26">
        <f>IF(OR(NOT(ISNUMBER(G52)),N(D52)&lt;=1),"",ROUND(G52/D52,3))</f>
        <v/>
      </c>
      <c r="J52" s="27">
        <f>IF(G52="","",IF(NOT(ISNUMBER(G52)),"Revisa",IF(H52="","Falta IVA",ROUND(G52*(1+H52/100),2))))</f>
        <v/>
      </c>
      <c r="K52" s="27">
        <f>IF(G52="","",IF(NOT(ISNUMBER(G52)),"Revisa",IF(H52="","Falta IVA",ROUND(G52*(1+(H52+IF(H52=21,5.2,IF(H52=10,1.4,IF(H52=4,0.5,0))))/100),2))))</f>
        <v/>
      </c>
      <c r="L52" s="27">
        <f>IF(G52="","",IF(NOT(ISNUMBER(G52)),"Revisa",ROUND(ROUND(G52*(1+N($K$8)/100)/$O$7,0)*$O$7,2)))</f>
        <v/>
      </c>
      <c r="M52" s="27">
        <f>IF(G52="","",IF(NOT(ISNUMBER(G52)),"Revisa",ROUND(ROUND(G52*(1+N($K$9)/100)/$O$7,0)*$O$7,2)))</f>
        <v/>
      </c>
      <c r="N52" s="27">
        <f>IF(G52="","",IF(NOT(ISNUMBER(G52)),"Revisa",ROUND(ROUND(G52*(1+N($K$10)/100)/$O$7,0)*$O$7,2)))</f>
        <v/>
      </c>
      <c r="O52">
        <f>IF(B52="","",MAX($O$12:O51)+1)</f>
        <v/>
      </c>
      <c r="P52">
        <f>IF(AND(B52="",G52&lt;&gt;""),1,0)</f>
        <v/>
      </c>
    </row>
    <row r="53">
      <c r="A53" s="21" t="n"/>
      <c r="B53" s="21" t="n"/>
      <c r="C53" s="21" t="n"/>
      <c r="D53" s="22" t="n"/>
      <c r="E53" s="21" t="n"/>
      <c r="F53" s="23" t="n"/>
      <c r="G53" s="24" t="n"/>
      <c r="H53" s="25" t="n"/>
      <c r="I53" s="26">
        <f>IF(OR(NOT(ISNUMBER(G53)),N(D53)&lt;=1),"",ROUND(G53/D53,3))</f>
        <v/>
      </c>
      <c r="J53" s="27">
        <f>IF(G53="","",IF(NOT(ISNUMBER(G53)),"Revisa",IF(H53="","Falta IVA",ROUND(G53*(1+H53/100),2))))</f>
        <v/>
      </c>
      <c r="K53" s="27">
        <f>IF(G53="","",IF(NOT(ISNUMBER(G53)),"Revisa",IF(H53="","Falta IVA",ROUND(G53*(1+(H53+IF(H53=21,5.2,IF(H53=10,1.4,IF(H53=4,0.5,0))))/100),2))))</f>
        <v/>
      </c>
      <c r="L53" s="27">
        <f>IF(G53="","",IF(NOT(ISNUMBER(G53)),"Revisa",ROUND(ROUND(G53*(1+N($K$8)/100)/$O$7,0)*$O$7,2)))</f>
        <v/>
      </c>
      <c r="M53" s="27">
        <f>IF(G53="","",IF(NOT(ISNUMBER(G53)),"Revisa",ROUND(ROUND(G53*(1+N($K$9)/100)/$O$7,0)*$O$7,2)))</f>
        <v/>
      </c>
      <c r="N53" s="27">
        <f>IF(G53="","",IF(NOT(ISNUMBER(G53)),"Revisa",ROUND(ROUND(G53*(1+N($K$10)/100)/$O$7,0)*$O$7,2)))</f>
        <v/>
      </c>
      <c r="O53">
        <f>IF(B53="","",MAX($O$12:O52)+1)</f>
        <v/>
      </c>
      <c r="P53">
        <f>IF(AND(B53="",G53&lt;&gt;""),1,0)</f>
        <v/>
      </c>
    </row>
    <row r="54">
      <c r="A54" s="21" t="n"/>
      <c r="B54" s="21" t="n"/>
      <c r="C54" s="21" t="n"/>
      <c r="D54" s="22" t="n"/>
      <c r="E54" s="21" t="n"/>
      <c r="F54" s="23" t="n"/>
      <c r="G54" s="24" t="n"/>
      <c r="H54" s="25" t="n"/>
      <c r="I54" s="26">
        <f>IF(OR(NOT(ISNUMBER(G54)),N(D54)&lt;=1),"",ROUND(G54/D54,3))</f>
        <v/>
      </c>
      <c r="J54" s="27">
        <f>IF(G54="","",IF(NOT(ISNUMBER(G54)),"Revisa",IF(H54="","Falta IVA",ROUND(G54*(1+H54/100),2))))</f>
        <v/>
      </c>
      <c r="K54" s="27">
        <f>IF(G54="","",IF(NOT(ISNUMBER(G54)),"Revisa",IF(H54="","Falta IVA",ROUND(G54*(1+(H54+IF(H54=21,5.2,IF(H54=10,1.4,IF(H54=4,0.5,0))))/100),2))))</f>
        <v/>
      </c>
      <c r="L54" s="27">
        <f>IF(G54="","",IF(NOT(ISNUMBER(G54)),"Revisa",ROUND(ROUND(G54*(1+N($K$8)/100)/$O$7,0)*$O$7,2)))</f>
        <v/>
      </c>
      <c r="M54" s="27">
        <f>IF(G54="","",IF(NOT(ISNUMBER(G54)),"Revisa",ROUND(ROUND(G54*(1+N($K$9)/100)/$O$7,0)*$O$7,2)))</f>
        <v/>
      </c>
      <c r="N54" s="27">
        <f>IF(G54="","",IF(NOT(ISNUMBER(G54)),"Revisa",ROUND(ROUND(G54*(1+N($K$10)/100)/$O$7,0)*$O$7,2)))</f>
        <v/>
      </c>
      <c r="O54">
        <f>IF(B54="","",MAX($O$12:O53)+1)</f>
        <v/>
      </c>
      <c r="P54">
        <f>IF(AND(B54="",G54&lt;&gt;""),1,0)</f>
        <v/>
      </c>
    </row>
    <row r="55">
      <c r="A55" s="21" t="n"/>
      <c r="B55" s="21" t="n"/>
      <c r="C55" s="21" t="n"/>
      <c r="D55" s="22" t="n"/>
      <c r="E55" s="21" t="n"/>
      <c r="F55" s="23" t="n"/>
      <c r="G55" s="24" t="n"/>
      <c r="H55" s="25" t="n"/>
      <c r="I55" s="26">
        <f>IF(OR(NOT(ISNUMBER(G55)),N(D55)&lt;=1),"",ROUND(G55/D55,3))</f>
        <v/>
      </c>
      <c r="J55" s="27">
        <f>IF(G55="","",IF(NOT(ISNUMBER(G55)),"Revisa",IF(H55="","Falta IVA",ROUND(G55*(1+H55/100),2))))</f>
        <v/>
      </c>
      <c r="K55" s="27">
        <f>IF(G55="","",IF(NOT(ISNUMBER(G55)),"Revisa",IF(H55="","Falta IVA",ROUND(G55*(1+(H55+IF(H55=21,5.2,IF(H55=10,1.4,IF(H55=4,0.5,0))))/100),2))))</f>
        <v/>
      </c>
      <c r="L55" s="27">
        <f>IF(G55="","",IF(NOT(ISNUMBER(G55)),"Revisa",ROUND(ROUND(G55*(1+N($K$8)/100)/$O$7,0)*$O$7,2)))</f>
        <v/>
      </c>
      <c r="M55" s="27">
        <f>IF(G55="","",IF(NOT(ISNUMBER(G55)),"Revisa",ROUND(ROUND(G55*(1+N($K$9)/100)/$O$7,0)*$O$7,2)))</f>
        <v/>
      </c>
      <c r="N55" s="27">
        <f>IF(G55="","",IF(NOT(ISNUMBER(G55)),"Revisa",ROUND(ROUND(G55*(1+N($K$10)/100)/$O$7,0)*$O$7,2)))</f>
        <v/>
      </c>
      <c r="O55">
        <f>IF(B55="","",MAX($O$12:O54)+1)</f>
        <v/>
      </c>
      <c r="P55">
        <f>IF(AND(B55="",G55&lt;&gt;""),1,0)</f>
        <v/>
      </c>
    </row>
    <row r="56">
      <c r="A56" s="21" t="n"/>
      <c r="B56" s="21" t="n"/>
      <c r="C56" s="21" t="n"/>
      <c r="D56" s="22" t="n"/>
      <c r="E56" s="21" t="n"/>
      <c r="F56" s="23" t="n"/>
      <c r="G56" s="24" t="n"/>
      <c r="H56" s="25" t="n"/>
      <c r="I56" s="26">
        <f>IF(OR(NOT(ISNUMBER(G56)),N(D56)&lt;=1),"",ROUND(G56/D56,3))</f>
        <v/>
      </c>
      <c r="J56" s="27">
        <f>IF(G56="","",IF(NOT(ISNUMBER(G56)),"Revisa",IF(H56="","Falta IVA",ROUND(G56*(1+H56/100),2))))</f>
        <v/>
      </c>
      <c r="K56" s="27">
        <f>IF(G56="","",IF(NOT(ISNUMBER(G56)),"Revisa",IF(H56="","Falta IVA",ROUND(G56*(1+(H56+IF(H56=21,5.2,IF(H56=10,1.4,IF(H56=4,0.5,0))))/100),2))))</f>
        <v/>
      </c>
      <c r="L56" s="27">
        <f>IF(G56="","",IF(NOT(ISNUMBER(G56)),"Revisa",ROUND(ROUND(G56*(1+N($K$8)/100)/$O$7,0)*$O$7,2)))</f>
        <v/>
      </c>
      <c r="M56" s="27">
        <f>IF(G56="","",IF(NOT(ISNUMBER(G56)),"Revisa",ROUND(ROUND(G56*(1+N($K$9)/100)/$O$7,0)*$O$7,2)))</f>
        <v/>
      </c>
      <c r="N56" s="27">
        <f>IF(G56="","",IF(NOT(ISNUMBER(G56)),"Revisa",ROUND(ROUND(G56*(1+N($K$10)/100)/$O$7,0)*$O$7,2)))</f>
        <v/>
      </c>
      <c r="O56">
        <f>IF(B56="","",MAX($O$12:O55)+1)</f>
        <v/>
      </c>
      <c r="P56">
        <f>IF(AND(B56="",G56&lt;&gt;""),1,0)</f>
        <v/>
      </c>
    </row>
    <row r="57">
      <c r="A57" s="21" t="n"/>
      <c r="B57" s="21" t="n"/>
      <c r="C57" s="21" t="n"/>
      <c r="D57" s="22" t="n"/>
      <c r="E57" s="21" t="n"/>
      <c r="F57" s="23" t="n"/>
      <c r="G57" s="24" t="n"/>
      <c r="H57" s="25" t="n"/>
      <c r="I57" s="26">
        <f>IF(OR(NOT(ISNUMBER(G57)),N(D57)&lt;=1),"",ROUND(G57/D57,3))</f>
        <v/>
      </c>
      <c r="J57" s="27">
        <f>IF(G57="","",IF(NOT(ISNUMBER(G57)),"Revisa",IF(H57="","Falta IVA",ROUND(G57*(1+H57/100),2))))</f>
        <v/>
      </c>
      <c r="K57" s="27">
        <f>IF(G57="","",IF(NOT(ISNUMBER(G57)),"Revisa",IF(H57="","Falta IVA",ROUND(G57*(1+(H57+IF(H57=21,5.2,IF(H57=10,1.4,IF(H57=4,0.5,0))))/100),2))))</f>
        <v/>
      </c>
      <c r="L57" s="27">
        <f>IF(G57="","",IF(NOT(ISNUMBER(G57)),"Revisa",ROUND(ROUND(G57*(1+N($K$8)/100)/$O$7,0)*$O$7,2)))</f>
        <v/>
      </c>
      <c r="M57" s="27">
        <f>IF(G57="","",IF(NOT(ISNUMBER(G57)),"Revisa",ROUND(ROUND(G57*(1+N($K$9)/100)/$O$7,0)*$O$7,2)))</f>
        <v/>
      </c>
      <c r="N57" s="27">
        <f>IF(G57="","",IF(NOT(ISNUMBER(G57)),"Revisa",ROUND(ROUND(G57*(1+N($K$10)/100)/$O$7,0)*$O$7,2)))</f>
        <v/>
      </c>
      <c r="O57">
        <f>IF(B57="","",MAX($O$12:O56)+1)</f>
        <v/>
      </c>
      <c r="P57">
        <f>IF(AND(B57="",G57&lt;&gt;""),1,0)</f>
        <v/>
      </c>
    </row>
    <row r="58">
      <c r="A58" s="21" t="n"/>
      <c r="B58" s="21" t="n"/>
      <c r="C58" s="21" t="n"/>
      <c r="D58" s="22" t="n"/>
      <c r="E58" s="21" t="n"/>
      <c r="F58" s="23" t="n"/>
      <c r="G58" s="24" t="n"/>
      <c r="H58" s="25" t="n"/>
      <c r="I58" s="26">
        <f>IF(OR(NOT(ISNUMBER(G58)),N(D58)&lt;=1),"",ROUND(G58/D58,3))</f>
        <v/>
      </c>
      <c r="J58" s="27">
        <f>IF(G58="","",IF(NOT(ISNUMBER(G58)),"Revisa",IF(H58="","Falta IVA",ROUND(G58*(1+H58/100),2))))</f>
        <v/>
      </c>
      <c r="K58" s="27">
        <f>IF(G58="","",IF(NOT(ISNUMBER(G58)),"Revisa",IF(H58="","Falta IVA",ROUND(G58*(1+(H58+IF(H58=21,5.2,IF(H58=10,1.4,IF(H58=4,0.5,0))))/100),2))))</f>
        <v/>
      </c>
      <c r="L58" s="27">
        <f>IF(G58="","",IF(NOT(ISNUMBER(G58)),"Revisa",ROUND(ROUND(G58*(1+N($K$8)/100)/$O$7,0)*$O$7,2)))</f>
        <v/>
      </c>
      <c r="M58" s="27">
        <f>IF(G58="","",IF(NOT(ISNUMBER(G58)),"Revisa",ROUND(ROUND(G58*(1+N($K$9)/100)/$O$7,0)*$O$7,2)))</f>
        <v/>
      </c>
      <c r="N58" s="27">
        <f>IF(G58="","",IF(NOT(ISNUMBER(G58)),"Revisa",ROUND(ROUND(G58*(1+N($K$10)/100)/$O$7,0)*$O$7,2)))</f>
        <v/>
      </c>
      <c r="O58">
        <f>IF(B58="","",MAX($O$12:O57)+1)</f>
        <v/>
      </c>
      <c r="P58">
        <f>IF(AND(B58="",G58&lt;&gt;""),1,0)</f>
        <v/>
      </c>
    </row>
    <row r="59">
      <c r="A59" s="21" t="n"/>
      <c r="B59" s="21" t="n"/>
      <c r="C59" s="21" t="n"/>
      <c r="D59" s="22" t="n"/>
      <c r="E59" s="21" t="n"/>
      <c r="F59" s="23" t="n"/>
      <c r="G59" s="24" t="n"/>
      <c r="H59" s="25" t="n"/>
      <c r="I59" s="26">
        <f>IF(OR(NOT(ISNUMBER(G59)),N(D59)&lt;=1),"",ROUND(G59/D59,3))</f>
        <v/>
      </c>
      <c r="J59" s="27">
        <f>IF(G59="","",IF(NOT(ISNUMBER(G59)),"Revisa",IF(H59="","Falta IVA",ROUND(G59*(1+H59/100),2))))</f>
        <v/>
      </c>
      <c r="K59" s="27">
        <f>IF(G59="","",IF(NOT(ISNUMBER(G59)),"Revisa",IF(H59="","Falta IVA",ROUND(G59*(1+(H59+IF(H59=21,5.2,IF(H59=10,1.4,IF(H59=4,0.5,0))))/100),2))))</f>
        <v/>
      </c>
      <c r="L59" s="27">
        <f>IF(G59="","",IF(NOT(ISNUMBER(G59)),"Revisa",ROUND(ROUND(G59*(1+N($K$8)/100)/$O$7,0)*$O$7,2)))</f>
        <v/>
      </c>
      <c r="M59" s="27">
        <f>IF(G59="","",IF(NOT(ISNUMBER(G59)),"Revisa",ROUND(ROUND(G59*(1+N($K$9)/100)/$O$7,0)*$O$7,2)))</f>
        <v/>
      </c>
      <c r="N59" s="27">
        <f>IF(G59="","",IF(NOT(ISNUMBER(G59)),"Revisa",ROUND(ROUND(G59*(1+N($K$10)/100)/$O$7,0)*$O$7,2)))</f>
        <v/>
      </c>
      <c r="O59">
        <f>IF(B59="","",MAX($O$12:O58)+1)</f>
        <v/>
      </c>
      <c r="P59">
        <f>IF(AND(B59="",G59&lt;&gt;""),1,0)</f>
        <v/>
      </c>
    </row>
    <row r="60">
      <c r="A60" s="21" t="n"/>
      <c r="B60" s="21" t="n"/>
      <c r="C60" s="21" t="n"/>
      <c r="D60" s="22" t="n"/>
      <c r="E60" s="21" t="n"/>
      <c r="F60" s="23" t="n"/>
      <c r="G60" s="24" t="n"/>
      <c r="H60" s="25" t="n"/>
      <c r="I60" s="26">
        <f>IF(OR(NOT(ISNUMBER(G60)),N(D60)&lt;=1),"",ROUND(G60/D60,3))</f>
        <v/>
      </c>
      <c r="J60" s="27">
        <f>IF(G60="","",IF(NOT(ISNUMBER(G60)),"Revisa",IF(H60="","Falta IVA",ROUND(G60*(1+H60/100),2))))</f>
        <v/>
      </c>
      <c r="K60" s="27">
        <f>IF(G60="","",IF(NOT(ISNUMBER(G60)),"Revisa",IF(H60="","Falta IVA",ROUND(G60*(1+(H60+IF(H60=21,5.2,IF(H60=10,1.4,IF(H60=4,0.5,0))))/100),2))))</f>
        <v/>
      </c>
      <c r="L60" s="27">
        <f>IF(G60="","",IF(NOT(ISNUMBER(G60)),"Revisa",ROUND(ROUND(G60*(1+N($K$8)/100)/$O$7,0)*$O$7,2)))</f>
        <v/>
      </c>
      <c r="M60" s="27">
        <f>IF(G60="","",IF(NOT(ISNUMBER(G60)),"Revisa",ROUND(ROUND(G60*(1+N($K$9)/100)/$O$7,0)*$O$7,2)))</f>
        <v/>
      </c>
      <c r="N60" s="27">
        <f>IF(G60="","",IF(NOT(ISNUMBER(G60)),"Revisa",ROUND(ROUND(G60*(1+N($K$10)/100)/$O$7,0)*$O$7,2)))</f>
        <v/>
      </c>
      <c r="O60">
        <f>IF(B60="","",MAX($O$12:O59)+1)</f>
        <v/>
      </c>
      <c r="P60">
        <f>IF(AND(B60="",G60&lt;&gt;""),1,0)</f>
        <v/>
      </c>
    </row>
    <row r="61">
      <c r="A61" s="21" t="n"/>
      <c r="B61" s="21" t="n"/>
      <c r="C61" s="21" t="n"/>
      <c r="D61" s="22" t="n"/>
      <c r="E61" s="21" t="n"/>
      <c r="F61" s="23" t="n"/>
      <c r="G61" s="24" t="n"/>
      <c r="H61" s="25" t="n"/>
      <c r="I61" s="26">
        <f>IF(OR(NOT(ISNUMBER(G61)),N(D61)&lt;=1),"",ROUND(G61/D61,3))</f>
        <v/>
      </c>
      <c r="J61" s="27">
        <f>IF(G61="","",IF(NOT(ISNUMBER(G61)),"Revisa",IF(H61="","Falta IVA",ROUND(G61*(1+H61/100),2))))</f>
        <v/>
      </c>
      <c r="K61" s="27">
        <f>IF(G61="","",IF(NOT(ISNUMBER(G61)),"Revisa",IF(H61="","Falta IVA",ROUND(G61*(1+(H61+IF(H61=21,5.2,IF(H61=10,1.4,IF(H61=4,0.5,0))))/100),2))))</f>
        <v/>
      </c>
      <c r="L61" s="27">
        <f>IF(G61="","",IF(NOT(ISNUMBER(G61)),"Revisa",ROUND(ROUND(G61*(1+N($K$8)/100)/$O$7,0)*$O$7,2)))</f>
        <v/>
      </c>
      <c r="M61" s="27">
        <f>IF(G61="","",IF(NOT(ISNUMBER(G61)),"Revisa",ROUND(ROUND(G61*(1+N($K$9)/100)/$O$7,0)*$O$7,2)))</f>
        <v/>
      </c>
      <c r="N61" s="27">
        <f>IF(G61="","",IF(NOT(ISNUMBER(G61)),"Revisa",ROUND(ROUND(G61*(1+N($K$10)/100)/$O$7,0)*$O$7,2)))</f>
        <v/>
      </c>
      <c r="O61">
        <f>IF(B61="","",MAX($O$12:O60)+1)</f>
        <v/>
      </c>
      <c r="P61">
        <f>IF(AND(B61="",G61&lt;&gt;""),1,0)</f>
        <v/>
      </c>
    </row>
    <row r="62">
      <c r="A62" s="21" t="n"/>
      <c r="B62" s="21" t="n"/>
      <c r="C62" s="21" t="n"/>
      <c r="D62" s="22" t="n"/>
      <c r="E62" s="21" t="n"/>
      <c r="F62" s="23" t="n"/>
      <c r="G62" s="24" t="n"/>
      <c r="H62" s="25" t="n"/>
      <c r="I62" s="26">
        <f>IF(OR(NOT(ISNUMBER(G62)),N(D62)&lt;=1),"",ROUND(G62/D62,3))</f>
        <v/>
      </c>
      <c r="J62" s="27">
        <f>IF(G62="","",IF(NOT(ISNUMBER(G62)),"Revisa",IF(H62="","Falta IVA",ROUND(G62*(1+H62/100),2))))</f>
        <v/>
      </c>
      <c r="K62" s="27">
        <f>IF(G62="","",IF(NOT(ISNUMBER(G62)),"Revisa",IF(H62="","Falta IVA",ROUND(G62*(1+(H62+IF(H62=21,5.2,IF(H62=10,1.4,IF(H62=4,0.5,0))))/100),2))))</f>
        <v/>
      </c>
      <c r="L62" s="27">
        <f>IF(G62="","",IF(NOT(ISNUMBER(G62)),"Revisa",ROUND(ROUND(G62*(1+N($K$8)/100)/$O$7,0)*$O$7,2)))</f>
        <v/>
      </c>
      <c r="M62" s="27">
        <f>IF(G62="","",IF(NOT(ISNUMBER(G62)),"Revisa",ROUND(ROUND(G62*(1+N($K$9)/100)/$O$7,0)*$O$7,2)))</f>
        <v/>
      </c>
      <c r="N62" s="27">
        <f>IF(G62="","",IF(NOT(ISNUMBER(G62)),"Revisa",ROUND(ROUND(G62*(1+N($K$10)/100)/$O$7,0)*$O$7,2)))</f>
        <v/>
      </c>
      <c r="O62">
        <f>IF(B62="","",MAX($O$12:O61)+1)</f>
        <v/>
      </c>
      <c r="P62">
        <f>IF(AND(B62="",G62&lt;&gt;""),1,0)</f>
        <v/>
      </c>
    </row>
    <row r="63">
      <c r="A63" s="21" t="n"/>
      <c r="B63" s="21" t="n"/>
      <c r="C63" s="21" t="n"/>
      <c r="D63" s="22" t="n"/>
      <c r="E63" s="21" t="n"/>
      <c r="F63" s="23" t="n"/>
      <c r="G63" s="24" t="n"/>
      <c r="H63" s="25" t="n"/>
      <c r="I63" s="26">
        <f>IF(OR(NOT(ISNUMBER(G63)),N(D63)&lt;=1),"",ROUND(G63/D63,3))</f>
        <v/>
      </c>
      <c r="J63" s="27">
        <f>IF(G63="","",IF(NOT(ISNUMBER(G63)),"Revisa",IF(H63="","Falta IVA",ROUND(G63*(1+H63/100),2))))</f>
        <v/>
      </c>
      <c r="K63" s="27">
        <f>IF(G63="","",IF(NOT(ISNUMBER(G63)),"Revisa",IF(H63="","Falta IVA",ROUND(G63*(1+(H63+IF(H63=21,5.2,IF(H63=10,1.4,IF(H63=4,0.5,0))))/100),2))))</f>
        <v/>
      </c>
      <c r="L63" s="27">
        <f>IF(G63="","",IF(NOT(ISNUMBER(G63)),"Revisa",ROUND(ROUND(G63*(1+N($K$8)/100)/$O$7,0)*$O$7,2)))</f>
        <v/>
      </c>
      <c r="M63" s="27">
        <f>IF(G63="","",IF(NOT(ISNUMBER(G63)),"Revisa",ROUND(ROUND(G63*(1+N($K$9)/100)/$O$7,0)*$O$7,2)))</f>
        <v/>
      </c>
      <c r="N63" s="27">
        <f>IF(G63="","",IF(NOT(ISNUMBER(G63)),"Revisa",ROUND(ROUND(G63*(1+N($K$10)/100)/$O$7,0)*$O$7,2)))</f>
        <v/>
      </c>
      <c r="O63">
        <f>IF(B63="","",MAX($O$12:O62)+1)</f>
        <v/>
      </c>
      <c r="P63">
        <f>IF(AND(B63="",G63&lt;&gt;""),1,0)</f>
        <v/>
      </c>
    </row>
    <row r="64">
      <c r="A64" s="21" t="n"/>
      <c r="B64" s="21" t="n"/>
      <c r="C64" s="21" t="n"/>
      <c r="D64" s="22" t="n"/>
      <c r="E64" s="21" t="n"/>
      <c r="F64" s="23" t="n"/>
      <c r="G64" s="24" t="n"/>
      <c r="H64" s="25" t="n"/>
      <c r="I64" s="26">
        <f>IF(OR(NOT(ISNUMBER(G64)),N(D64)&lt;=1),"",ROUND(G64/D64,3))</f>
        <v/>
      </c>
      <c r="J64" s="27">
        <f>IF(G64="","",IF(NOT(ISNUMBER(G64)),"Revisa",IF(H64="","Falta IVA",ROUND(G64*(1+H64/100),2))))</f>
        <v/>
      </c>
      <c r="K64" s="27">
        <f>IF(G64="","",IF(NOT(ISNUMBER(G64)),"Revisa",IF(H64="","Falta IVA",ROUND(G64*(1+(H64+IF(H64=21,5.2,IF(H64=10,1.4,IF(H64=4,0.5,0))))/100),2))))</f>
        <v/>
      </c>
      <c r="L64" s="27">
        <f>IF(G64="","",IF(NOT(ISNUMBER(G64)),"Revisa",ROUND(ROUND(G64*(1+N($K$8)/100)/$O$7,0)*$O$7,2)))</f>
        <v/>
      </c>
      <c r="M64" s="27">
        <f>IF(G64="","",IF(NOT(ISNUMBER(G64)),"Revisa",ROUND(ROUND(G64*(1+N($K$9)/100)/$O$7,0)*$O$7,2)))</f>
        <v/>
      </c>
      <c r="N64" s="27">
        <f>IF(G64="","",IF(NOT(ISNUMBER(G64)),"Revisa",ROUND(ROUND(G64*(1+N($K$10)/100)/$O$7,0)*$O$7,2)))</f>
        <v/>
      </c>
      <c r="O64">
        <f>IF(B64="","",MAX($O$12:O63)+1)</f>
        <v/>
      </c>
      <c r="P64">
        <f>IF(AND(B64="",G64&lt;&gt;""),1,0)</f>
        <v/>
      </c>
    </row>
    <row r="65">
      <c r="A65" s="21" t="n"/>
      <c r="B65" s="21" t="n"/>
      <c r="C65" s="21" t="n"/>
      <c r="D65" s="22" t="n"/>
      <c r="E65" s="21" t="n"/>
      <c r="F65" s="23" t="n"/>
      <c r="G65" s="24" t="n"/>
      <c r="H65" s="25" t="n"/>
      <c r="I65" s="26">
        <f>IF(OR(NOT(ISNUMBER(G65)),N(D65)&lt;=1),"",ROUND(G65/D65,3))</f>
        <v/>
      </c>
      <c r="J65" s="27">
        <f>IF(G65="","",IF(NOT(ISNUMBER(G65)),"Revisa",IF(H65="","Falta IVA",ROUND(G65*(1+H65/100),2))))</f>
        <v/>
      </c>
      <c r="K65" s="27">
        <f>IF(G65="","",IF(NOT(ISNUMBER(G65)),"Revisa",IF(H65="","Falta IVA",ROUND(G65*(1+(H65+IF(H65=21,5.2,IF(H65=10,1.4,IF(H65=4,0.5,0))))/100),2))))</f>
        <v/>
      </c>
      <c r="L65" s="27">
        <f>IF(G65="","",IF(NOT(ISNUMBER(G65)),"Revisa",ROUND(ROUND(G65*(1+N($K$8)/100)/$O$7,0)*$O$7,2)))</f>
        <v/>
      </c>
      <c r="M65" s="27">
        <f>IF(G65="","",IF(NOT(ISNUMBER(G65)),"Revisa",ROUND(ROUND(G65*(1+N($K$9)/100)/$O$7,0)*$O$7,2)))</f>
        <v/>
      </c>
      <c r="N65" s="27">
        <f>IF(G65="","",IF(NOT(ISNUMBER(G65)),"Revisa",ROUND(ROUND(G65*(1+N($K$10)/100)/$O$7,0)*$O$7,2)))</f>
        <v/>
      </c>
      <c r="O65">
        <f>IF(B65="","",MAX($O$12:O64)+1)</f>
        <v/>
      </c>
      <c r="P65">
        <f>IF(AND(B65="",G65&lt;&gt;""),1,0)</f>
        <v/>
      </c>
    </row>
    <row r="66">
      <c r="A66" s="21" t="n"/>
      <c r="B66" s="21" t="n"/>
      <c r="C66" s="21" t="n"/>
      <c r="D66" s="22" t="n"/>
      <c r="E66" s="21" t="n"/>
      <c r="F66" s="23" t="n"/>
      <c r="G66" s="24" t="n"/>
      <c r="H66" s="25" t="n"/>
      <c r="I66" s="26">
        <f>IF(OR(NOT(ISNUMBER(G66)),N(D66)&lt;=1),"",ROUND(G66/D66,3))</f>
        <v/>
      </c>
      <c r="J66" s="27">
        <f>IF(G66="","",IF(NOT(ISNUMBER(G66)),"Revisa",IF(H66="","Falta IVA",ROUND(G66*(1+H66/100),2))))</f>
        <v/>
      </c>
      <c r="K66" s="27">
        <f>IF(G66="","",IF(NOT(ISNUMBER(G66)),"Revisa",IF(H66="","Falta IVA",ROUND(G66*(1+(H66+IF(H66=21,5.2,IF(H66=10,1.4,IF(H66=4,0.5,0))))/100),2))))</f>
        <v/>
      </c>
      <c r="L66" s="27">
        <f>IF(G66="","",IF(NOT(ISNUMBER(G66)),"Revisa",ROUND(ROUND(G66*(1+N($K$8)/100)/$O$7,0)*$O$7,2)))</f>
        <v/>
      </c>
      <c r="M66" s="27">
        <f>IF(G66="","",IF(NOT(ISNUMBER(G66)),"Revisa",ROUND(ROUND(G66*(1+N($K$9)/100)/$O$7,0)*$O$7,2)))</f>
        <v/>
      </c>
      <c r="N66" s="27">
        <f>IF(G66="","",IF(NOT(ISNUMBER(G66)),"Revisa",ROUND(ROUND(G66*(1+N($K$10)/100)/$O$7,0)*$O$7,2)))</f>
        <v/>
      </c>
      <c r="O66">
        <f>IF(B66="","",MAX($O$12:O65)+1)</f>
        <v/>
      </c>
      <c r="P66">
        <f>IF(AND(B66="",G66&lt;&gt;""),1,0)</f>
        <v/>
      </c>
    </row>
    <row r="67">
      <c r="A67" s="21" t="n"/>
      <c r="B67" s="21" t="n"/>
      <c r="C67" s="21" t="n"/>
      <c r="D67" s="22" t="n"/>
      <c r="E67" s="21" t="n"/>
      <c r="F67" s="23" t="n"/>
      <c r="G67" s="24" t="n"/>
      <c r="H67" s="25" t="n"/>
      <c r="I67" s="26">
        <f>IF(OR(NOT(ISNUMBER(G67)),N(D67)&lt;=1),"",ROUND(G67/D67,3))</f>
        <v/>
      </c>
      <c r="J67" s="27">
        <f>IF(G67="","",IF(NOT(ISNUMBER(G67)),"Revisa",IF(H67="","Falta IVA",ROUND(G67*(1+H67/100),2))))</f>
        <v/>
      </c>
      <c r="K67" s="27">
        <f>IF(G67="","",IF(NOT(ISNUMBER(G67)),"Revisa",IF(H67="","Falta IVA",ROUND(G67*(1+(H67+IF(H67=21,5.2,IF(H67=10,1.4,IF(H67=4,0.5,0))))/100),2))))</f>
        <v/>
      </c>
      <c r="L67" s="27">
        <f>IF(G67="","",IF(NOT(ISNUMBER(G67)),"Revisa",ROUND(ROUND(G67*(1+N($K$8)/100)/$O$7,0)*$O$7,2)))</f>
        <v/>
      </c>
      <c r="M67" s="27">
        <f>IF(G67="","",IF(NOT(ISNUMBER(G67)),"Revisa",ROUND(ROUND(G67*(1+N($K$9)/100)/$O$7,0)*$O$7,2)))</f>
        <v/>
      </c>
      <c r="N67" s="27">
        <f>IF(G67="","",IF(NOT(ISNUMBER(G67)),"Revisa",ROUND(ROUND(G67*(1+N($K$10)/100)/$O$7,0)*$O$7,2)))</f>
        <v/>
      </c>
      <c r="O67">
        <f>IF(B67="","",MAX($O$12:O66)+1)</f>
        <v/>
      </c>
      <c r="P67">
        <f>IF(AND(B67="",G67&lt;&gt;""),1,0)</f>
        <v/>
      </c>
    </row>
    <row r="68">
      <c r="A68" s="21" t="n"/>
      <c r="B68" s="21" t="n"/>
      <c r="C68" s="21" t="n"/>
      <c r="D68" s="22" t="n"/>
      <c r="E68" s="21" t="n"/>
      <c r="F68" s="23" t="n"/>
      <c r="G68" s="24" t="n"/>
      <c r="H68" s="25" t="n"/>
      <c r="I68" s="26">
        <f>IF(OR(NOT(ISNUMBER(G68)),N(D68)&lt;=1),"",ROUND(G68/D68,3))</f>
        <v/>
      </c>
      <c r="J68" s="27">
        <f>IF(G68="","",IF(NOT(ISNUMBER(G68)),"Revisa",IF(H68="","Falta IVA",ROUND(G68*(1+H68/100),2))))</f>
        <v/>
      </c>
      <c r="K68" s="27">
        <f>IF(G68="","",IF(NOT(ISNUMBER(G68)),"Revisa",IF(H68="","Falta IVA",ROUND(G68*(1+(H68+IF(H68=21,5.2,IF(H68=10,1.4,IF(H68=4,0.5,0))))/100),2))))</f>
        <v/>
      </c>
      <c r="L68" s="27">
        <f>IF(G68="","",IF(NOT(ISNUMBER(G68)),"Revisa",ROUND(ROUND(G68*(1+N($K$8)/100)/$O$7,0)*$O$7,2)))</f>
        <v/>
      </c>
      <c r="M68" s="27">
        <f>IF(G68="","",IF(NOT(ISNUMBER(G68)),"Revisa",ROUND(ROUND(G68*(1+N($K$9)/100)/$O$7,0)*$O$7,2)))</f>
        <v/>
      </c>
      <c r="N68" s="27">
        <f>IF(G68="","",IF(NOT(ISNUMBER(G68)),"Revisa",ROUND(ROUND(G68*(1+N($K$10)/100)/$O$7,0)*$O$7,2)))</f>
        <v/>
      </c>
      <c r="O68">
        <f>IF(B68="","",MAX($O$12:O67)+1)</f>
        <v/>
      </c>
      <c r="P68">
        <f>IF(AND(B68="",G68&lt;&gt;""),1,0)</f>
        <v/>
      </c>
    </row>
    <row r="69">
      <c r="A69" s="21" t="n"/>
      <c r="B69" s="21" t="n"/>
      <c r="C69" s="21" t="n"/>
      <c r="D69" s="22" t="n"/>
      <c r="E69" s="21" t="n"/>
      <c r="F69" s="23" t="n"/>
      <c r="G69" s="24" t="n"/>
      <c r="H69" s="25" t="n"/>
      <c r="I69" s="26">
        <f>IF(OR(NOT(ISNUMBER(G69)),N(D69)&lt;=1),"",ROUND(G69/D69,3))</f>
        <v/>
      </c>
      <c r="J69" s="27">
        <f>IF(G69="","",IF(NOT(ISNUMBER(G69)),"Revisa",IF(H69="","Falta IVA",ROUND(G69*(1+H69/100),2))))</f>
        <v/>
      </c>
      <c r="K69" s="27">
        <f>IF(G69="","",IF(NOT(ISNUMBER(G69)),"Revisa",IF(H69="","Falta IVA",ROUND(G69*(1+(H69+IF(H69=21,5.2,IF(H69=10,1.4,IF(H69=4,0.5,0))))/100),2))))</f>
        <v/>
      </c>
      <c r="L69" s="27">
        <f>IF(G69="","",IF(NOT(ISNUMBER(G69)),"Revisa",ROUND(ROUND(G69*(1+N($K$8)/100)/$O$7,0)*$O$7,2)))</f>
        <v/>
      </c>
      <c r="M69" s="27">
        <f>IF(G69="","",IF(NOT(ISNUMBER(G69)),"Revisa",ROUND(ROUND(G69*(1+N($K$9)/100)/$O$7,0)*$O$7,2)))</f>
        <v/>
      </c>
      <c r="N69" s="27">
        <f>IF(G69="","",IF(NOT(ISNUMBER(G69)),"Revisa",ROUND(ROUND(G69*(1+N($K$10)/100)/$O$7,0)*$O$7,2)))</f>
        <v/>
      </c>
      <c r="O69">
        <f>IF(B69="","",MAX($O$12:O68)+1)</f>
        <v/>
      </c>
      <c r="P69">
        <f>IF(AND(B69="",G69&lt;&gt;""),1,0)</f>
        <v/>
      </c>
    </row>
    <row r="70">
      <c r="A70" s="21" t="n"/>
      <c r="B70" s="21" t="n"/>
      <c r="C70" s="21" t="n"/>
      <c r="D70" s="22" t="n"/>
      <c r="E70" s="21" t="n"/>
      <c r="F70" s="23" t="n"/>
      <c r="G70" s="24" t="n"/>
      <c r="H70" s="25" t="n"/>
      <c r="I70" s="26">
        <f>IF(OR(NOT(ISNUMBER(G70)),N(D70)&lt;=1),"",ROUND(G70/D70,3))</f>
        <v/>
      </c>
      <c r="J70" s="27">
        <f>IF(G70="","",IF(NOT(ISNUMBER(G70)),"Revisa",IF(H70="","Falta IVA",ROUND(G70*(1+H70/100),2))))</f>
        <v/>
      </c>
      <c r="K70" s="27">
        <f>IF(G70="","",IF(NOT(ISNUMBER(G70)),"Revisa",IF(H70="","Falta IVA",ROUND(G70*(1+(H70+IF(H70=21,5.2,IF(H70=10,1.4,IF(H70=4,0.5,0))))/100),2))))</f>
        <v/>
      </c>
      <c r="L70" s="27">
        <f>IF(G70="","",IF(NOT(ISNUMBER(G70)),"Revisa",ROUND(ROUND(G70*(1+N($K$8)/100)/$O$7,0)*$O$7,2)))</f>
        <v/>
      </c>
      <c r="M70" s="27">
        <f>IF(G70="","",IF(NOT(ISNUMBER(G70)),"Revisa",ROUND(ROUND(G70*(1+N($K$9)/100)/$O$7,0)*$O$7,2)))</f>
        <v/>
      </c>
      <c r="N70" s="27">
        <f>IF(G70="","",IF(NOT(ISNUMBER(G70)),"Revisa",ROUND(ROUND(G70*(1+N($K$10)/100)/$O$7,0)*$O$7,2)))</f>
        <v/>
      </c>
      <c r="O70">
        <f>IF(B70="","",MAX($O$12:O69)+1)</f>
        <v/>
      </c>
      <c r="P70">
        <f>IF(AND(B70="",G70&lt;&gt;""),1,0)</f>
        <v/>
      </c>
    </row>
    <row r="71">
      <c r="A71" s="21" t="n"/>
      <c r="B71" s="21" t="n"/>
      <c r="C71" s="21" t="n"/>
      <c r="D71" s="22" t="n"/>
      <c r="E71" s="21" t="n"/>
      <c r="F71" s="23" t="n"/>
      <c r="G71" s="24" t="n"/>
      <c r="H71" s="25" t="n"/>
      <c r="I71" s="26">
        <f>IF(OR(NOT(ISNUMBER(G71)),N(D71)&lt;=1),"",ROUND(G71/D71,3))</f>
        <v/>
      </c>
      <c r="J71" s="27">
        <f>IF(G71="","",IF(NOT(ISNUMBER(G71)),"Revisa",IF(H71="","Falta IVA",ROUND(G71*(1+H71/100),2))))</f>
        <v/>
      </c>
      <c r="K71" s="27">
        <f>IF(G71="","",IF(NOT(ISNUMBER(G71)),"Revisa",IF(H71="","Falta IVA",ROUND(G71*(1+(H71+IF(H71=21,5.2,IF(H71=10,1.4,IF(H71=4,0.5,0))))/100),2))))</f>
        <v/>
      </c>
      <c r="L71" s="27">
        <f>IF(G71="","",IF(NOT(ISNUMBER(G71)),"Revisa",ROUND(ROUND(G71*(1+N($K$8)/100)/$O$7,0)*$O$7,2)))</f>
        <v/>
      </c>
      <c r="M71" s="27">
        <f>IF(G71="","",IF(NOT(ISNUMBER(G71)),"Revisa",ROUND(ROUND(G71*(1+N($K$9)/100)/$O$7,0)*$O$7,2)))</f>
        <v/>
      </c>
      <c r="N71" s="27">
        <f>IF(G71="","",IF(NOT(ISNUMBER(G71)),"Revisa",ROUND(ROUND(G71*(1+N($K$10)/100)/$O$7,0)*$O$7,2)))</f>
        <v/>
      </c>
      <c r="O71">
        <f>IF(B71="","",MAX($O$12:O70)+1)</f>
        <v/>
      </c>
      <c r="P71">
        <f>IF(AND(B71="",G71&lt;&gt;""),1,0)</f>
        <v/>
      </c>
    </row>
    <row r="72">
      <c r="A72" s="21" t="n"/>
      <c r="B72" s="21" t="n"/>
      <c r="C72" s="21" t="n"/>
      <c r="D72" s="22" t="n"/>
      <c r="E72" s="21" t="n"/>
      <c r="F72" s="23" t="n"/>
      <c r="G72" s="24" t="n"/>
      <c r="H72" s="25" t="n"/>
      <c r="I72" s="26">
        <f>IF(OR(NOT(ISNUMBER(G72)),N(D72)&lt;=1),"",ROUND(G72/D72,3))</f>
        <v/>
      </c>
      <c r="J72" s="27">
        <f>IF(G72="","",IF(NOT(ISNUMBER(G72)),"Revisa",IF(H72="","Falta IVA",ROUND(G72*(1+H72/100),2))))</f>
        <v/>
      </c>
      <c r="K72" s="27">
        <f>IF(G72="","",IF(NOT(ISNUMBER(G72)),"Revisa",IF(H72="","Falta IVA",ROUND(G72*(1+(H72+IF(H72=21,5.2,IF(H72=10,1.4,IF(H72=4,0.5,0))))/100),2))))</f>
        <v/>
      </c>
      <c r="L72" s="27">
        <f>IF(G72="","",IF(NOT(ISNUMBER(G72)),"Revisa",ROUND(ROUND(G72*(1+N($K$8)/100)/$O$7,0)*$O$7,2)))</f>
        <v/>
      </c>
      <c r="M72" s="27">
        <f>IF(G72="","",IF(NOT(ISNUMBER(G72)),"Revisa",ROUND(ROUND(G72*(1+N($K$9)/100)/$O$7,0)*$O$7,2)))</f>
        <v/>
      </c>
      <c r="N72" s="27">
        <f>IF(G72="","",IF(NOT(ISNUMBER(G72)),"Revisa",ROUND(ROUND(G72*(1+N($K$10)/100)/$O$7,0)*$O$7,2)))</f>
        <v/>
      </c>
      <c r="O72">
        <f>IF(B72="","",MAX($O$12:O71)+1)</f>
        <v/>
      </c>
      <c r="P72">
        <f>IF(AND(B72="",G72&lt;&gt;""),1,0)</f>
        <v/>
      </c>
    </row>
    <row r="73">
      <c r="A73" s="21" t="n"/>
      <c r="B73" s="21" t="n"/>
      <c r="C73" s="21" t="n"/>
      <c r="D73" s="22" t="n"/>
      <c r="E73" s="21" t="n"/>
      <c r="F73" s="23" t="n"/>
      <c r="G73" s="24" t="n"/>
      <c r="H73" s="25" t="n"/>
      <c r="I73" s="26">
        <f>IF(OR(NOT(ISNUMBER(G73)),N(D73)&lt;=1),"",ROUND(G73/D73,3))</f>
        <v/>
      </c>
      <c r="J73" s="27">
        <f>IF(G73="","",IF(NOT(ISNUMBER(G73)),"Revisa",IF(H73="","Falta IVA",ROUND(G73*(1+H73/100),2))))</f>
        <v/>
      </c>
      <c r="K73" s="27">
        <f>IF(G73="","",IF(NOT(ISNUMBER(G73)),"Revisa",IF(H73="","Falta IVA",ROUND(G73*(1+(H73+IF(H73=21,5.2,IF(H73=10,1.4,IF(H73=4,0.5,0))))/100),2))))</f>
        <v/>
      </c>
      <c r="L73" s="27">
        <f>IF(G73="","",IF(NOT(ISNUMBER(G73)),"Revisa",ROUND(ROUND(G73*(1+N($K$8)/100)/$O$7,0)*$O$7,2)))</f>
        <v/>
      </c>
      <c r="M73" s="27">
        <f>IF(G73="","",IF(NOT(ISNUMBER(G73)),"Revisa",ROUND(ROUND(G73*(1+N($K$9)/100)/$O$7,0)*$O$7,2)))</f>
        <v/>
      </c>
      <c r="N73" s="27">
        <f>IF(G73="","",IF(NOT(ISNUMBER(G73)),"Revisa",ROUND(ROUND(G73*(1+N($K$10)/100)/$O$7,0)*$O$7,2)))</f>
        <v/>
      </c>
      <c r="O73">
        <f>IF(B73="","",MAX($O$12:O72)+1)</f>
        <v/>
      </c>
      <c r="P73">
        <f>IF(AND(B73="",G73&lt;&gt;""),1,0)</f>
        <v/>
      </c>
    </row>
    <row r="74">
      <c r="A74" s="21" t="n"/>
      <c r="B74" s="21" t="n"/>
      <c r="C74" s="21" t="n"/>
      <c r="D74" s="22" t="n"/>
      <c r="E74" s="21" t="n"/>
      <c r="F74" s="23" t="n"/>
      <c r="G74" s="24" t="n"/>
      <c r="H74" s="25" t="n"/>
      <c r="I74" s="26">
        <f>IF(OR(NOT(ISNUMBER(G74)),N(D74)&lt;=1),"",ROUND(G74/D74,3))</f>
        <v/>
      </c>
      <c r="J74" s="27">
        <f>IF(G74="","",IF(NOT(ISNUMBER(G74)),"Revisa",IF(H74="","Falta IVA",ROUND(G74*(1+H74/100),2))))</f>
        <v/>
      </c>
      <c r="K74" s="27">
        <f>IF(G74="","",IF(NOT(ISNUMBER(G74)),"Revisa",IF(H74="","Falta IVA",ROUND(G74*(1+(H74+IF(H74=21,5.2,IF(H74=10,1.4,IF(H74=4,0.5,0))))/100),2))))</f>
        <v/>
      </c>
      <c r="L74" s="27">
        <f>IF(G74="","",IF(NOT(ISNUMBER(G74)),"Revisa",ROUND(ROUND(G74*(1+N($K$8)/100)/$O$7,0)*$O$7,2)))</f>
        <v/>
      </c>
      <c r="M74" s="27">
        <f>IF(G74="","",IF(NOT(ISNUMBER(G74)),"Revisa",ROUND(ROUND(G74*(1+N($K$9)/100)/$O$7,0)*$O$7,2)))</f>
        <v/>
      </c>
      <c r="N74" s="27">
        <f>IF(G74="","",IF(NOT(ISNUMBER(G74)),"Revisa",ROUND(ROUND(G74*(1+N($K$10)/100)/$O$7,0)*$O$7,2)))</f>
        <v/>
      </c>
      <c r="O74">
        <f>IF(B74="","",MAX($O$12:O73)+1)</f>
        <v/>
      </c>
      <c r="P74">
        <f>IF(AND(B74="",G74&lt;&gt;""),1,0)</f>
        <v/>
      </c>
    </row>
    <row r="75">
      <c r="A75" s="21" t="n"/>
      <c r="B75" s="21" t="n"/>
      <c r="C75" s="21" t="n"/>
      <c r="D75" s="22" t="n"/>
      <c r="E75" s="21" t="n"/>
      <c r="F75" s="23" t="n"/>
      <c r="G75" s="24" t="n"/>
      <c r="H75" s="25" t="n"/>
      <c r="I75" s="26">
        <f>IF(OR(NOT(ISNUMBER(G75)),N(D75)&lt;=1),"",ROUND(G75/D75,3))</f>
        <v/>
      </c>
      <c r="J75" s="27">
        <f>IF(G75="","",IF(NOT(ISNUMBER(G75)),"Revisa",IF(H75="","Falta IVA",ROUND(G75*(1+H75/100),2))))</f>
        <v/>
      </c>
      <c r="K75" s="27">
        <f>IF(G75="","",IF(NOT(ISNUMBER(G75)),"Revisa",IF(H75="","Falta IVA",ROUND(G75*(1+(H75+IF(H75=21,5.2,IF(H75=10,1.4,IF(H75=4,0.5,0))))/100),2))))</f>
        <v/>
      </c>
      <c r="L75" s="27">
        <f>IF(G75="","",IF(NOT(ISNUMBER(G75)),"Revisa",ROUND(ROUND(G75*(1+N($K$8)/100)/$O$7,0)*$O$7,2)))</f>
        <v/>
      </c>
      <c r="M75" s="27">
        <f>IF(G75="","",IF(NOT(ISNUMBER(G75)),"Revisa",ROUND(ROUND(G75*(1+N($K$9)/100)/$O$7,0)*$O$7,2)))</f>
        <v/>
      </c>
      <c r="N75" s="27">
        <f>IF(G75="","",IF(NOT(ISNUMBER(G75)),"Revisa",ROUND(ROUND(G75*(1+N($K$10)/100)/$O$7,0)*$O$7,2)))</f>
        <v/>
      </c>
      <c r="O75">
        <f>IF(B75="","",MAX($O$12:O74)+1)</f>
        <v/>
      </c>
      <c r="P75">
        <f>IF(AND(B75="",G75&lt;&gt;""),1,0)</f>
        <v/>
      </c>
    </row>
    <row r="76">
      <c r="A76" s="21" t="n"/>
      <c r="B76" s="21" t="n"/>
      <c r="C76" s="21" t="n"/>
      <c r="D76" s="22" t="n"/>
      <c r="E76" s="21" t="n"/>
      <c r="F76" s="23" t="n"/>
      <c r="G76" s="24" t="n"/>
      <c r="H76" s="25" t="n"/>
      <c r="I76" s="26">
        <f>IF(OR(NOT(ISNUMBER(G76)),N(D76)&lt;=1),"",ROUND(G76/D76,3))</f>
        <v/>
      </c>
      <c r="J76" s="27">
        <f>IF(G76="","",IF(NOT(ISNUMBER(G76)),"Revisa",IF(H76="","Falta IVA",ROUND(G76*(1+H76/100),2))))</f>
        <v/>
      </c>
      <c r="K76" s="27">
        <f>IF(G76="","",IF(NOT(ISNUMBER(G76)),"Revisa",IF(H76="","Falta IVA",ROUND(G76*(1+(H76+IF(H76=21,5.2,IF(H76=10,1.4,IF(H76=4,0.5,0))))/100),2))))</f>
        <v/>
      </c>
      <c r="L76" s="27">
        <f>IF(G76="","",IF(NOT(ISNUMBER(G76)),"Revisa",ROUND(ROUND(G76*(1+N($K$8)/100)/$O$7,0)*$O$7,2)))</f>
        <v/>
      </c>
      <c r="M76" s="27">
        <f>IF(G76="","",IF(NOT(ISNUMBER(G76)),"Revisa",ROUND(ROUND(G76*(1+N($K$9)/100)/$O$7,0)*$O$7,2)))</f>
        <v/>
      </c>
      <c r="N76" s="27">
        <f>IF(G76="","",IF(NOT(ISNUMBER(G76)),"Revisa",ROUND(ROUND(G76*(1+N($K$10)/100)/$O$7,0)*$O$7,2)))</f>
        <v/>
      </c>
      <c r="O76">
        <f>IF(B76="","",MAX($O$12:O75)+1)</f>
        <v/>
      </c>
      <c r="P76">
        <f>IF(AND(B76="",G76&lt;&gt;""),1,0)</f>
        <v/>
      </c>
    </row>
    <row r="77">
      <c r="A77" s="21" t="n"/>
      <c r="B77" s="21" t="n"/>
      <c r="C77" s="21" t="n"/>
      <c r="D77" s="22" t="n"/>
      <c r="E77" s="21" t="n"/>
      <c r="F77" s="23" t="n"/>
      <c r="G77" s="24" t="n"/>
      <c r="H77" s="25" t="n"/>
      <c r="I77" s="26">
        <f>IF(OR(NOT(ISNUMBER(G77)),N(D77)&lt;=1),"",ROUND(G77/D77,3))</f>
        <v/>
      </c>
      <c r="J77" s="27">
        <f>IF(G77="","",IF(NOT(ISNUMBER(G77)),"Revisa",IF(H77="","Falta IVA",ROUND(G77*(1+H77/100),2))))</f>
        <v/>
      </c>
      <c r="K77" s="27">
        <f>IF(G77="","",IF(NOT(ISNUMBER(G77)),"Revisa",IF(H77="","Falta IVA",ROUND(G77*(1+(H77+IF(H77=21,5.2,IF(H77=10,1.4,IF(H77=4,0.5,0))))/100),2))))</f>
        <v/>
      </c>
      <c r="L77" s="27">
        <f>IF(G77="","",IF(NOT(ISNUMBER(G77)),"Revisa",ROUND(ROUND(G77*(1+N($K$8)/100)/$O$7,0)*$O$7,2)))</f>
        <v/>
      </c>
      <c r="M77" s="27">
        <f>IF(G77="","",IF(NOT(ISNUMBER(G77)),"Revisa",ROUND(ROUND(G77*(1+N($K$9)/100)/$O$7,0)*$O$7,2)))</f>
        <v/>
      </c>
      <c r="N77" s="27">
        <f>IF(G77="","",IF(NOT(ISNUMBER(G77)),"Revisa",ROUND(ROUND(G77*(1+N($K$10)/100)/$O$7,0)*$O$7,2)))</f>
        <v/>
      </c>
      <c r="O77">
        <f>IF(B77="","",MAX($O$12:O76)+1)</f>
        <v/>
      </c>
      <c r="P77">
        <f>IF(AND(B77="",G77&lt;&gt;""),1,0)</f>
        <v/>
      </c>
    </row>
    <row r="78">
      <c r="A78" s="21" t="n"/>
      <c r="B78" s="21" t="n"/>
      <c r="C78" s="21" t="n"/>
      <c r="D78" s="22" t="n"/>
      <c r="E78" s="21" t="n"/>
      <c r="F78" s="23" t="n"/>
      <c r="G78" s="24" t="n"/>
      <c r="H78" s="25" t="n"/>
      <c r="I78" s="26">
        <f>IF(OR(NOT(ISNUMBER(G78)),N(D78)&lt;=1),"",ROUND(G78/D78,3))</f>
        <v/>
      </c>
      <c r="J78" s="27">
        <f>IF(G78="","",IF(NOT(ISNUMBER(G78)),"Revisa",IF(H78="","Falta IVA",ROUND(G78*(1+H78/100),2))))</f>
        <v/>
      </c>
      <c r="K78" s="27">
        <f>IF(G78="","",IF(NOT(ISNUMBER(G78)),"Revisa",IF(H78="","Falta IVA",ROUND(G78*(1+(H78+IF(H78=21,5.2,IF(H78=10,1.4,IF(H78=4,0.5,0))))/100),2))))</f>
        <v/>
      </c>
      <c r="L78" s="27">
        <f>IF(G78="","",IF(NOT(ISNUMBER(G78)),"Revisa",ROUND(ROUND(G78*(1+N($K$8)/100)/$O$7,0)*$O$7,2)))</f>
        <v/>
      </c>
      <c r="M78" s="27">
        <f>IF(G78="","",IF(NOT(ISNUMBER(G78)),"Revisa",ROUND(ROUND(G78*(1+N($K$9)/100)/$O$7,0)*$O$7,2)))</f>
        <v/>
      </c>
      <c r="N78" s="27">
        <f>IF(G78="","",IF(NOT(ISNUMBER(G78)),"Revisa",ROUND(ROUND(G78*(1+N($K$10)/100)/$O$7,0)*$O$7,2)))</f>
        <v/>
      </c>
      <c r="O78">
        <f>IF(B78="","",MAX($O$12:O77)+1)</f>
        <v/>
      </c>
      <c r="P78">
        <f>IF(AND(B78="",G78&lt;&gt;""),1,0)</f>
        <v/>
      </c>
    </row>
    <row r="79">
      <c r="A79" s="21" t="n"/>
      <c r="B79" s="21" t="n"/>
      <c r="C79" s="21" t="n"/>
      <c r="D79" s="22" t="n"/>
      <c r="E79" s="21" t="n"/>
      <c r="F79" s="23" t="n"/>
      <c r="G79" s="24" t="n"/>
      <c r="H79" s="25" t="n"/>
      <c r="I79" s="26">
        <f>IF(OR(NOT(ISNUMBER(G79)),N(D79)&lt;=1),"",ROUND(G79/D79,3))</f>
        <v/>
      </c>
      <c r="J79" s="27">
        <f>IF(G79="","",IF(NOT(ISNUMBER(G79)),"Revisa",IF(H79="","Falta IVA",ROUND(G79*(1+H79/100),2))))</f>
        <v/>
      </c>
      <c r="K79" s="27">
        <f>IF(G79="","",IF(NOT(ISNUMBER(G79)),"Revisa",IF(H79="","Falta IVA",ROUND(G79*(1+(H79+IF(H79=21,5.2,IF(H79=10,1.4,IF(H79=4,0.5,0))))/100),2))))</f>
        <v/>
      </c>
      <c r="L79" s="27">
        <f>IF(G79="","",IF(NOT(ISNUMBER(G79)),"Revisa",ROUND(ROUND(G79*(1+N($K$8)/100)/$O$7,0)*$O$7,2)))</f>
        <v/>
      </c>
      <c r="M79" s="27">
        <f>IF(G79="","",IF(NOT(ISNUMBER(G79)),"Revisa",ROUND(ROUND(G79*(1+N($K$9)/100)/$O$7,0)*$O$7,2)))</f>
        <v/>
      </c>
      <c r="N79" s="27">
        <f>IF(G79="","",IF(NOT(ISNUMBER(G79)),"Revisa",ROUND(ROUND(G79*(1+N($K$10)/100)/$O$7,0)*$O$7,2)))</f>
        <v/>
      </c>
      <c r="O79">
        <f>IF(B79="","",MAX($O$12:O78)+1)</f>
        <v/>
      </c>
      <c r="P79">
        <f>IF(AND(B79="",G79&lt;&gt;""),1,0)</f>
        <v/>
      </c>
    </row>
    <row r="80">
      <c r="A80" s="21" t="n"/>
      <c r="B80" s="21" t="n"/>
      <c r="C80" s="21" t="n"/>
      <c r="D80" s="22" t="n"/>
      <c r="E80" s="21" t="n"/>
      <c r="F80" s="23" t="n"/>
      <c r="G80" s="24" t="n"/>
      <c r="H80" s="25" t="n"/>
      <c r="I80" s="26">
        <f>IF(OR(NOT(ISNUMBER(G80)),N(D80)&lt;=1),"",ROUND(G80/D80,3))</f>
        <v/>
      </c>
      <c r="J80" s="27">
        <f>IF(G80="","",IF(NOT(ISNUMBER(G80)),"Revisa",IF(H80="","Falta IVA",ROUND(G80*(1+H80/100),2))))</f>
        <v/>
      </c>
      <c r="K80" s="27">
        <f>IF(G80="","",IF(NOT(ISNUMBER(G80)),"Revisa",IF(H80="","Falta IVA",ROUND(G80*(1+(H80+IF(H80=21,5.2,IF(H80=10,1.4,IF(H80=4,0.5,0))))/100),2))))</f>
        <v/>
      </c>
      <c r="L80" s="27">
        <f>IF(G80="","",IF(NOT(ISNUMBER(G80)),"Revisa",ROUND(ROUND(G80*(1+N($K$8)/100)/$O$7,0)*$O$7,2)))</f>
        <v/>
      </c>
      <c r="M80" s="27">
        <f>IF(G80="","",IF(NOT(ISNUMBER(G80)),"Revisa",ROUND(ROUND(G80*(1+N($K$9)/100)/$O$7,0)*$O$7,2)))</f>
        <v/>
      </c>
      <c r="N80" s="27">
        <f>IF(G80="","",IF(NOT(ISNUMBER(G80)),"Revisa",ROUND(ROUND(G80*(1+N($K$10)/100)/$O$7,0)*$O$7,2)))</f>
        <v/>
      </c>
      <c r="O80">
        <f>IF(B80="","",MAX($O$12:O79)+1)</f>
        <v/>
      </c>
      <c r="P80">
        <f>IF(AND(B80="",G80&lt;&gt;""),1,0)</f>
        <v/>
      </c>
    </row>
    <row r="81">
      <c r="A81" s="21" t="n"/>
      <c r="B81" s="21" t="n"/>
      <c r="C81" s="21" t="n"/>
      <c r="D81" s="22" t="n"/>
      <c r="E81" s="21" t="n"/>
      <c r="F81" s="23" t="n"/>
      <c r="G81" s="24" t="n"/>
      <c r="H81" s="25" t="n"/>
      <c r="I81" s="26">
        <f>IF(OR(NOT(ISNUMBER(G81)),N(D81)&lt;=1),"",ROUND(G81/D81,3))</f>
        <v/>
      </c>
      <c r="J81" s="27">
        <f>IF(G81="","",IF(NOT(ISNUMBER(G81)),"Revisa",IF(H81="","Falta IVA",ROUND(G81*(1+H81/100),2))))</f>
        <v/>
      </c>
      <c r="K81" s="27">
        <f>IF(G81="","",IF(NOT(ISNUMBER(G81)),"Revisa",IF(H81="","Falta IVA",ROUND(G81*(1+(H81+IF(H81=21,5.2,IF(H81=10,1.4,IF(H81=4,0.5,0))))/100),2))))</f>
        <v/>
      </c>
      <c r="L81" s="27">
        <f>IF(G81="","",IF(NOT(ISNUMBER(G81)),"Revisa",ROUND(ROUND(G81*(1+N($K$8)/100)/$O$7,0)*$O$7,2)))</f>
        <v/>
      </c>
      <c r="M81" s="27">
        <f>IF(G81="","",IF(NOT(ISNUMBER(G81)),"Revisa",ROUND(ROUND(G81*(1+N($K$9)/100)/$O$7,0)*$O$7,2)))</f>
        <v/>
      </c>
      <c r="N81" s="27">
        <f>IF(G81="","",IF(NOT(ISNUMBER(G81)),"Revisa",ROUND(ROUND(G81*(1+N($K$10)/100)/$O$7,0)*$O$7,2)))</f>
        <v/>
      </c>
      <c r="O81">
        <f>IF(B81="","",MAX($O$12:O80)+1)</f>
        <v/>
      </c>
      <c r="P81">
        <f>IF(AND(B81="",G81&lt;&gt;""),1,0)</f>
        <v/>
      </c>
    </row>
    <row r="82">
      <c r="A82" s="21" t="n"/>
      <c r="B82" s="21" t="n"/>
      <c r="C82" s="21" t="n"/>
      <c r="D82" s="22" t="n"/>
      <c r="E82" s="21" t="n"/>
      <c r="F82" s="23" t="n"/>
      <c r="G82" s="24" t="n"/>
      <c r="H82" s="25" t="n"/>
      <c r="I82" s="26">
        <f>IF(OR(NOT(ISNUMBER(G82)),N(D82)&lt;=1),"",ROUND(G82/D82,3))</f>
        <v/>
      </c>
      <c r="J82" s="27">
        <f>IF(G82="","",IF(NOT(ISNUMBER(G82)),"Revisa",IF(H82="","Falta IVA",ROUND(G82*(1+H82/100),2))))</f>
        <v/>
      </c>
      <c r="K82" s="27">
        <f>IF(G82="","",IF(NOT(ISNUMBER(G82)),"Revisa",IF(H82="","Falta IVA",ROUND(G82*(1+(H82+IF(H82=21,5.2,IF(H82=10,1.4,IF(H82=4,0.5,0))))/100),2))))</f>
        <v/>
      </c>
      <c r="L82" s="27">
        <f>IF(G82="","",IF(NOT(ISNUMBER(G82)),"Revisa",ROUND(ROUND(G82*(1+N($K$8)/100)/$O$7,0)*$O$7,2)))</f>
        <v/>
      </c>
      <c r="M82" s="27">
        <f>IF(G82="","",IF(NOT(ISNUMBER(G82)),"Revisa",ROUND(ROUND(G82*(1+N($K$9)/100)/$O$7,0)*$O$7,2)))</f>
        <v/>
      </c>
      <c r="N82" s="27">
        <f>IF(G82="","",IF(NOT(ISNUMBER(G82)),"Revisa",ROUND(ROUND(G82*(1+N($K$10)/100)/$O$7,0)*$O$7,2)))</f>
        <v/>
      </c>
      <c r="O82">
        <f>IF(B82="","",MAX($O$12:O81)+1)</f>
        <v/>
      </c>
      <c r="P82">
        <f>IF(AND(B82="",G82&lt;&gt;""),1,0)</f>
        <v/>
      </c>
    </row>
    <row r="83">
      <c r="A83" s="21" t="n"/>
      <c r="B83" s="21" t="n"/>
      <c r="C83" s="21" t="n"/>
      <c r="D83" s="22" t="n"/>
      <c r="E83" s="21" t="n"/>
      <c r="F83" s="23" t="n"/>
      <c r="G83" s="24" t="n"/>
      <c r="H83" s="25" t="n"/>
      <c r="I83" s="26">
        <f>IF(OR(NOT(ISNUMBER(G83)),N(D83)&lt;=1),"",ROUND(G83/D83,3))</f>
        <v/>
      </c>
      <c r="J83" s="27">
        <f>IF(G83="","",IF(NOT(ISNUMBER(G83)),"Revisa",IF(H83="","Falta IVA",ROUND(G83*(1+H83/100),2))))</f>
        <v/>
      </c>
      <c r="K83" s="27">
        <f>IF(G83="","",IF(NOT(ISNUMBER(G83)),"Revisa",IF(H83="","Falta IVA",ROUND(G83*(1+(H83+IF(H83=21,5.2,IF(H83=10,1.4,IF(H83=4,0.5,0))))/100),2))))</f>
        <v/>
      </c>
      <c r="L83" s="27">
        <f>IF(G83="","",IF(NOT(ISNUMBER(G83)),"Revisa",ROUND(ROUND(G83*(1+N($K$8)/100)/$O$7,0)*$O$7,2)))</f>
        <v/>
      </c>
      <c r="M83" s="27">
        <f>IF(G83="","",IF(NOT(ISNUMBER(G83)),"Revisa",ROUND(ROUND(G83*(1+N($K$9)/100)/$O$7,0)*$O$7,2)))</f>
        <v/>
      </c>
      <c r="N83" s="27">
        <f>IF(G83="","",IF(NOT(ISNUMBER(G83)),"Revisa",ROUND(ROUND(G83*(1+N($K$10)/100)/$O$7,0)*$O$7,2)))</f>
        <v/>
      </c>
      <c r="O83">
        <f>IF(B83="","",MAX($O$12:O82)+1)</f>
        <v/>
      </c>
      <c r="P83">
        <f>IF(AND(B83="",G83&lt;&gt;""),1,0)</f>
        <v/>
      </c>
    </row>
    <row r="84">
      <c r="A84" s="21" t="n"/>
      <c r="B84" s="21" t="n"/>
      <c r="C84" s="21" t="n"/>
      <c r="D84" s="22" t="n"/>
      <c r="E84" s="21" t="n"/>
      <c r="F84" s="23" t="n"/>
      <c r="G84" s="24" t="n"/>
      <c r="H84" s="25" t="n"/>
      <c r="I84" s="26">
        <f>IF(OR(NOT(ISNUMBER(G84)),N(D84)&lt;=1),"",ROUND(G84/D84,3))</f>
        <v/>
      </c>
      <c r="J84" s="27">
        <f>IF(G84="","",IF(NOT(ISNUMBER(G84)),"Revisa",IF(H84="","Falta IVA",ROUND(G84*(1+H84/100),2))))</f>
        <v/>
      </c>
      <c r="K84" s="27">
        <f>IF(G84="","",IF(NOT(ISNUMBER(G84)),"Revisa",IF(H84="","Falta IVA",ROUND(G84*(1+(H84+IF(H84=21,5.2,IF(H84=10,1.4,IF(H84=4,0.5,0))))/100),2))))</f>
        <v/>
      </c>
      <c r="L84" s="27">
        <f>IF(G84="","",IF(NOT(ISNUMBER(G84)),"Revisa",ROUND(ROUND(G84*(1+N($K$8)/100)/$O$7,0)*$O$7,2)))</f>
        <v/>
      </c>
      <c r="M84" s="27">
        <f>IF(G84="","",IF(NOT(ISNUMBER(G84)),"Revisa",ROUND(ROUND(G84*(1+N($K$9)/100)/$O$7,0)*$O$7,2)))</f>
        <v/>
      </c>
      <c r="N84" s="27">
        <f>IF(G84="","",IF(NOT(ISNUMBER(G84)),"Revisa",ROUND(ROUND(G84*(1+N($K$10)/100)/$O$7,0)*$O$7,2)))</f>
        <v/>
      </c>
      <c r="O84">
        <f>IF(B84="","",MAX($O$12:O83)+1)</f>
        <v/>
      </c>
      <c r="P84">
        <f>IF(AND(B84="",G84&lt;&gt;""),1,0)</f>
        <v/>
      </c>
    </row>
    <row r="85">
      <c r="A85" s="21" t="n"/>
      <c r="B85" s="21" t="n"/>
      <c r="C85" s="21" t="n"/>
      <c r="D85" s="22" t="n"/>
      <c r="E85" s="21" t="n"/>
      <c r="F85" s="23" t="n"/>
      <c r="G85" s="24" t="n"/>
      <c r="H85" s="25" t="n"/>
      <c r="I85" s="26">
        <f>IF(OR(NOT(ISNUMBER(G85)),N(D85)&lt;=1),"",ROUND(G85/D85,3))</f>
        <v/>
      </c>
      <c r="J85" s="27">
        <f>IF(G85="","",IF(NOT(ISNUMBER(G85)),"Revisa",IF(H85="","Falta IVA",ROUND(G85*(1+H85/100),2))))</f>
        <v/>
      </c>
      <c r="K85" s="27">
        <f>IF(G85="","",IF(NOT(ISNUMBER(G85)),"Revisa",IF(H85="","Falta IVA",ROUND(G85*(1+(H85+IF(H85=21,5.2,IF(H85=10,1.4,IF(H85=4,0.5,0))))/100),2))))</f>
        <v/>
      </c>
      <c r="L85" s="27">
        <f>IF(G85="","",IF(NOT(ISNUMBER(G85)),"Revisa",ROUND(ROUND(G85*(1+N($K$8)/100)/$O$7,0)*$O$7,2)))</f>
        <v/>
      </c>
      <c r="M85" s="27">
        <f>IF(G85="","",IF(NOT(ISNUMBER(G85)),"Revisa",ROUND(ROUND(G85*(1+N($K$9)/100)/$O$7,0)*$O$7,2)))</f>
        <v/>
      </c>
      <c r="N85" s="27">
        <f>IF(G85="","",IF(NOT(ISNUMBER(G85)),"Revisa",ROUND(ROUND(G85*(1+N($K$10)/100)/$O$7,0)*$O$7,2)))</f>
        <v/>
      </c>
      <c r="O85">
        <f>IF(B85="","",MAX($O$12:O84)+1)</f>
        <v/>
      </c>
      <c r="P85">
        <f>IF(AND(B85="",G85&lt;&gt;""),1,0)</f>
        <v/>
      </c>
    </row>
    <row r="86">
      <c r="A86" s="21" t="n"/>
      <c r="B86" s="21" t="n"/>
      <c r="C86" s="21" t="n"/>
      <c r="D86" s="22" t="n"/>
      <c r="E86" s="21" t="n"/>
      <c r="F86" s="23" t="n"/>
      <c r="G86" s="24" t="n"/>
      <c r="H86" s="25" t="n"/>
      <c r="I86" s="26">
        <f>IF(OR(NOT(ISNUMBER(G86)),N(D86)&lt;=1),"",ROUND(G86/D86,3))</f>
        <v/>
      </c>
      <c r="J86" s="27">
        <f>IF(G86="","",IF(NOT(ISNUMBER(G86)),"Revisa",IF(H86="","Falta IVA",ROUND(G86*(1+H86/100),2))))</f>
        <v/>
      </c>
      <c r="K86" s="27">
        <f>IF(G86="","",IF(NOT(ISNUMBER(G86)),"Revisa",IF(H86="","Falta IVA",ROUND(G86*(1+(H86+IF(H86=21,5.2,IF(H86=10,1.4,IF(H86=4,0.5,0))))/100),2))))</f>
        <v/>
      </c>
      <c r="L86" s="27">
        <f>IF(G86="","",IF(NOT(ISNUMBER(G86)),"Revisa",ROUND(ROUND(G86*(1+N($K$8)/100)/$O$7,0)*$O$7,2)))</f>
        <v/>
      </c>
      <c r="M86" s="27">
        <f>IF(G86="","",IF(NOT(ISNUMBER(G86)),"Revisa",ROUND(ROUND(G86*(1+N($K$9)/100)/$O$7,0)*$O$7,2)))</f>
        <v/>
      </c>
      <c r="N86" s="27">
        <f>IF(G86="","",IF(NOT(ISNUMBER(G86)),"Revisa",ROUND(ROUND(G86*(1+N($K$10)/100)/$O$7,0)*$O$7,2)))</f>
        <v/>
      </c>
      <c r="O86">
        <f>IF(B86="","",MAX($O$12:O85)+1)</f>
        <v/>
      </c>
      <c r="P86">
        <f>IF(AND(B86="",G86&lt;&gt;""),1,0)</f>
        <v/>
      </c>
    </row>
    <row r="87">
      <c r="A87" s="21" t="n"/>
      <c r="B87" s="21" t="n"/>
      <c r="C87" s="21" t="n"/>
      <c r="D87" s="22" t="n"/>
      <c r="E87" s="21" t="n"/>
      <c r="F87" s="23" t="n"/>
      <c r="G87" s="24" t="n"/>
      <c r="H87" s="25" t="n"/>
      <c r="I87" s="26">
        <f>IF(OR(NOT(ISNUMBER(G87)),N(D87)&lt;=1),"",ROUND(G87/D87,3))</f>
        <v/>
      </c>
      <c r="J87" s="27">
        <f>IF(G87="","",IF(NOT(ISNUMBER(G87)),"Revisa",IF(H87="","Falta IVA",ROUND(G87*(1+H87/100),2))))</f>
        <v/>
      </c>
      <c r="K87" s="27">
        <f>IF(G87="","",IF(NOT(ISNUMBER(G87)),"Revisa",IF(H87="","Falta IVA",ROUND(G87*(1+(H87+IF(H87=21,5.2,IF(H87=10,1.4,IF(H87=4,0.5,0))))/100),2))))</f>
        <v/>
      </c>
      <c r="L87" s="27">
        <f>IF(G87="","",IF(NOT(ISNUMBER(G87)),"Revisa",ROUND(ROUND(G87*(1+N($K$8)/100)/$O$7,0)*$O$7,2)))</f>
        <v/>
      </c>
      <c r="M87" s="27">
        <f>IF(G87="","",IF(NOT(ISNUMBER(G87)),"Revisa",ROUND(ROUND(G87*(1+N($K$9)/100)/$O$7,0)*$O$7,2)))</f>
        <v/>
      </c>
      <c r="N87" s="27">
        <f>IF(G87="","",IF(NOT(ISNUMBER(G87)),"Revisa",ROUND(ROUND(G87*(1+N($K$10)/100)/$O$7,0)*$O$7,2)))</f>
        <v/>
      </c>
      <c r="O87">
        <f>IF(B87="","",MAX($O$12:O86)+1)</f>
        <v/>
      </c>
      <c r="P87">
        <f>IF(AND(B87="",G87&lt;&gt;""),1,0)</f>
        <v/>
      </c>
    </row>
    <row r="88">
      <c r="A88" s="21" t="n"/>
      <c r="B88" s="21" t="n"/>
      <c r="C88" s="21" t="n"/>
      <c r="D88" s="22" t="n"/>
      <c r="E88" s="21" t="n"/>
      <c r="F88" s="23" t="n"/>
      <c r="G88" s="24" t="n"/>
      <c r="H88" s="25" t="n"/>
      <c r="I88" s="26">
        <f>IF(OR(NOT(ISNUMBER(G88)),N(D88)&lt;=1),"",ROUND(G88/D88,3))</f>
        <v/>
      </c>
      <c r="J88" s="27">
        <f>IF(G88="","",IF(NOT(ISNUMBER(G88)),"Revisa",IF(H88="","Falta IVA",ROUND(G88*(1+H88/100),2))))</f>
        <v/>
      </c>
      <c r="K88" s="27">
        <f>IF(G88="","",IF(NOT(ISNUMBER(G88)),"Revisa",IF(H88="","Falta IVA",ROUND(G88*(1+(H88+IF(H88=21,5.2,IF(H88=10,1.4,IF(H88=4,0.5,0))))/100),2))))</f>
        <v/>
      </c>
      <c r="L88" s="27">
        <f>IF(G88="","",IF(NOT(ISNUMBER(G88)),"Revisa",ROUND(ROUND(G88*(1+N($K$8)/100)/$O$7,0)*$O$7,2)))</f>
        <v/>
      </c>
      <c r="M88" s="27">
        <f>IF(G88="","",IF(NOT(ISNUMBER(G88)),"Revisa",ROUND(ROUND(G88*(1+N($K$9)/100)/$O$7,0)*$O$7,2)))</f>
        <v/>
      </c>
      <c r="N88" s="27">
        <f>IF(G88="","",IF(NOT(ISNUMBER(G88)),"Revisa",ROUND(ROUND(G88*(1+N($K$10)/100)/$O$7,0)*$O$7,2)))</f>
        <v/>
      </c>
      <c r="O88">
        <f>IF(B88="","",MAX($O$12:O87)+1)</f>
        <v/>
      </c>
      <c r="P88">
        <f>IF(AND(B88="",G88&lt;&gt;""),1,0)</f>
        <v/>
      </c>
    </row>
    <row r="89">
      <c r="A89" s="21" t="n"/>
      <c r="B89" s="21" t="n"/>
      <c r="C89" s="21" t="n"/>
      <c r="D89" s="22" t="n"/>
      <c r="E89" s="21" t="n"/>
      <c r="F89" s="23" t="n"/>
      <c r="G89" s="24" t="n"/>
      <c r="H89" s="25" t="n"/>
      <c r="I89" s="26">
        <f>IF(OR(NOT(ISNUMBER(G89)),N(D89)&lt;=1),"",ROUND(G89/D89,3))</f>
        <v/>
      </c>
      <c r="J89" s="27">
        <f>IF(G89="","",IF(NOT(ISNUMBER(G89)),"Revisa",IF(H89="","Falta IVA",ROUND(G89*(1+H89/100),2))))</f>
        <v/>
      </c>
      <c r="K89" s="27">
        <f>IF(G89="","",IF(NOT(ISNUMBER(G89)),"Revisa",IF(H89="","Falta IVA",ROUND(G89*(1+(H89+IF(H89=21,5.2,IF(H89=10,1.4,IF(H89=4,0.5,0))))/100),2))))</f>
        <v/>
      </c>
      <c r="L89" s="27">
        <f>IF(G89="","",IF(NOT(ISNUMBER(G89)),"Revisa",ROUND(ROUND(G89*(1+N($K$8)/100)/$O$7,0)*$O$7,2)))</f>
        <v/>
      </c>
      <c r="M89" s="27">
        <f>IF(G89="","",IF(NOT(ISNUMBER(G89)),"Revisa",ROUND(ROUND(G89*(1+N($K$9)/100)/$O$7,0)*$O$7,2)))</f>
        <v/>
      </c>
      <c r="N89" s="27">
        <f>IF(G89="","",IF(NOT(ISNUMBER(G89)),"Revisa",ROUND(ROUND(G89*(1+N($K$10)/100)/$O$7,0)*$O$7,2)))</f>
        <v/>
      </c>
      <c r="O89">
        <f>IF(B89="","",MAX($O$12:O88)+1)</f>
        <v/>
      </c>
      <c r="P89">
        <f>IF(AND(B89="",G89&lt;&gt;""),1,0)</f>
        <v/>
      </c>
    </row>
    <row r="90">
      <c r="A90" s="21" t="n"/>
      <c r="B90" s="21" t="n"/>
      <c r="C90" s="21" t="n"/>
      <c r="D90" s="22" t="n"/>
      <c r="E90" s="21" t="n"/>
      <c r="F90" s="23" t="n"/>
      <c r="G90" s="24" t="n"/>
      <c r="H90" s="25" t="n"/>
      <c r="I90" s="26">
        <f>IF(OR(NOT(ISNUMBER(G90)),N(D90)&lt;=1),"",ROUND(G90/D90,3))</f>
        <v/>
      </c>
      <c r="J90" s="27">
        <f>IF(G90="","",IF(NOT(ISNUMBER(G90)),"Revisa",IF(H90="","Falta IVA",ROUND(G90*(1+H90/100),2))))</f>
        <v/>
      </c>
      <c r="K90" s="27">
        <f>IF(G90="","",IF(NOT(ISNUMBER(G90)),"Revisa",IF(H90="","Falta IVA",ROUND(G90*(1+(H90+IF(H90=21,5.2,IF(H90=10,1.4,IF(H90=4,0.5,0))))/100),2))))</f>
        <v/>
      </c>
      <c r="L90" s="27">
        <f>IF(G90="","",IF(NOT(ISNUMBER(G90)),"Revisa",ROUND(ROUND(G90*(1+N($K$8)/100)/$O$7,0)*$O$7,2)))</f>
        <v/>
      </c>
      <c r="M90" s="27">
        <f>IF(G90="","",IF(NOT(ISNUMBER(G90)),"Revisa",ROUND(ROUND(G90*(1+N($K$9)/100)/$O$7,0)*$O$7,2)))</f>
        <v/>
      </c>
      <c r="N90" s="27">
        <f>IF(G90="","",IF(NOT(ISNUMBER(G90)),"Revisa",ROUND(ROUND(G90*(1+N($K$10)/100)/$O$7,0)*$O$7,2)))</f>
        <v/>
      </c>
      <c r="O90">
        <f>IF(B90="","",MAX($O$12:O89)+1)</f>
        <v/>
      </c>
      <c r="P90">
        <f>IF(AND(B90="",G90&lt;&gt;""),1,0)</f>
        <v/>
      </c>
    </row>
    <row r="91">
      <c r="A91" s="21" t="n"/>
      <c r="B91" s="21" t="n"/>
      <c r="C91" s="21" t="n"/>
      <c r="D91" s="22" t="n"/>
      <c r="E91" s="21" t="n"/>
      <c r="F91" s="23" t="n"/>
      <c r="G91" s="24" t="n"/>
      <c r="H91" s="25" t="n"/>
      <c r="I91" s="26">
        <f>IF(OR(NOT(ISNUMBER(G91)),N(D91)&lt;=1),"",ROUND(G91/D91,3))</f>
        <v/>
      </c>
      <c r="J91" s="27">
        <f>IF(G91="","",IF(NOT(ISNUMBER(G91)),"Revisa",IF(H91="","Falta IVA",ROUND(G91*(1+H91/100),2))))</f>
        <v/>
      </c>
      <c r="K91" s="27">
        <f>IF(G91="","",IF(NOT(ISNUMBER(G91)),"Revisa",IF(H91="","Falta IVA",ROUND(G91*(1+(H91+IF(H91=21,5.2,IF(H91=10,1.4,IF(H91=4,0.5,0))))/100),2))))</f>
        <v/>
      </c>
      <c r="L91" s="27">
        <f>IF(G91="","",IF(NOT(ISNUMBER(G91)),"Revisa",ROUND(ROUND(G91*(1+N($K$8)/100)/$O$7,0)*$O$7,2)))</f>
        <v/>
      </c>
      <c r="M91" s="27">
        <f>IF(G91="","",IF(NOT(ISNUMBER(G91)),"Revisa",ROUND(ROUND(G91*(1+N($K$9)/100)/$O$7,0)*$O$7,2)))</f>
        <v/>
      </c>
      <c r="N91" s="27">
        <f>IF(G91="","",IF(NOT(ISNUMBER(G91)),"Revisa",ROUND(ROUND(G91*(1+N($K$10)/100)/$O$7,0)*$O$7,2)))</f>
        <v/>
      </c>
      <c r="O91">
        <f>IF(B91="","",MAX($O$12:O90)+1)</f>
        <v/>
      </c>
      <c r="P91">
        <f>IF(AND(B91="",G91&lt;&gt;""),1,0)</f>
        <v/>
      </c>
    </row>
    <row r="92">
      <c r="A92" s="21" t="n"/>
      <c r="B92" s="21" t="n"/>
      <c r="C92" s="21" t="n"/>
      <c r="D92" s="22" t="n"/>
      <c r="E92" s="21" t="n"/>
      <c r="F92" s="23" t="n"/>
      <c r="G92" s="24" t="n"/>
      <c r="H92" s="25" t="n"/>
      <c r="I92" s="26">
        <f>IF(OR(NOT(ISNUMBER(G92)),N(D92)&lt;=1),"",ROUND(G92/D92,3))</f>
        <v/>
      </c>
      <c r="J92" s="27">
        <f>IF(G92="","",IF(NOT(ISNUMBER(G92)),"Revisa",IF(H92="","Falta IVA",ROUND(G92*(1+H92/100),2))))</f>
        <v/>
      </c>
      <c r="K92" s="27">
        <f>IF(G92="","",IF(NOT(ISNUMBER(G92)),"Revisa",IF(H92="","Falta IVA",ROUND(G92*(1+(H92+IF(H92=21,5.2,IF(H92=10,1.4,IF(H92=4,0.5,0))))/100),2))))</f>
        <v/>
      </c>
      <c r="L92" s="27">
        <f>IF(G92="","",IF(NOT(ISNUMBER(G92)),"Revisa",ROUND(ROUND(G92*(1+N($K$8)/100)/$O$7,0)*$O$7,2)))</f>
        <v/>
      </c>
      <c r="M92" s="27">
        <f>IF(G92="","",IF(NOT(ISNUMBER(G92)),"Revisa",ROUND(ROUND(G92*(1+N($K$9)/100)/$O$7,0)*$O$7,2)))</f>
        <v/>
      </c>
      <c r="N92" s="27">
        <f>IF(G92="","",IF(NOT(ISNUMBER(G92)),"Revisa",ROUND(ROUND(G92*(1+N($K$10)/100)/$O$7,0)*$O$7,2)))</f>
        <v/>
      </c>
      <c r="O92">
        <f>IF(B92="","",MAX($O$12:O91)+1)</f>
        <v/>
      </c>
      <c r="P92">
        <f>IF(AND(B92="",G92&lt;&gt;""),1,0)</f>
        <v/>
      </c>
    </row>
    <row r="93">
      <c r="A93" s="21" t="n"/>
      <c r="B93" s="21" t="n"/>
      <c r="C93" s="21" t="n"/>
      <c r="D93" s="22" t="n"/>
      <c r="E93" s="21" t="n"/>
      <c r="F93" s="23" t="n"/>
      <c r="G93" s="24" t="n"/>
      <c r="H93" s="25" t="n"/>
      <c r="I93" s="26">
        <f>IF(OR(NOT(ISNUMBER(G93)),N(D93)&lt;=1),"",ROUND(G93/D93,3))</f>
        <v/>
      </c>
      <c r="J93" s="27">
        <f>IF(G93="","",IF(NOT(ISNUMBER(G93)),"Revisa",IF(H93="","Falta IVA",ROUND(G93*(1+H93/100),2))))</f>
        <v/>
      </c>
      <c r="K93" s="27">
        <f>IF(G93="","",IF(NOT(ISNUMBER(G93)),"Revisa",IF(H93="","Falta IVA",ROUND(G93*(1+(H93+IF(H93=21,5.2,IF(H93=10,1.4,IF(H93=4,0.5,0))))/100),2))))</f>
        <v/>
      </c>
      <c r="L93" s="27">
        <f>IF(G93="","",IF(NOT(ISNUMBER(G93)),"Revisa",ROUND(ROUND(G93*(1+N($K$8)/100)/$O$7,0)*$O$7,2)))</f>
        <v/>
      </c>
      <c r="M93" s="27">
        <f>IF(G93="","",IF(NOT(ISNUMBER(G93)),"Revisa",ROUND(ROUND(G93*(1+N($K$9)/100)/$O$7,0)*$O$7,2)))</f>
        <v/>
      </c>
      <c r="N93" s="27">
        <f>IF(G93="","",IF(NOT(ISNUMBER(G93)),"Revisa",ROUND(ROUND(G93*(1+N($K$10)/100)/$O$7,0)*$O$7,2)))</f>
        <v/>
      </c>
      <c r="O93">
        <f>IF(B93="","",MAX($O$12:O92)+1)</f>
        <v/>
      </c>
      <c r="P93">
        <f>IF(AND(B93="",G93&lt;&gt;""),1,0)</f>
        <v/>
      </c>
    </row>
    <row r="94">
      <c r="A94" s="21" t="n"/>
      <c r="B94" s="21" t="n"/>
      <c r="C94" s="21" t="n"/>
      <c r="D94" s="22" t="n"/>
      <c r="E94" s="21" t="n"/>
      <c r="F94" s="23" t="n"/>
      <c r="G94" s="24" t="n"/>
      <c r="H94" s="25" t="n"/>
      <c r="I94" s="26">
        <f>IF(OR(NOT(ISNUMBER(G94)),N(D94)&lt;=1),"",ROUND(G94/D94,3))</f>
        <v/>
      </c>
      <c r="J94" s="27">
        <f>IF(G94="","",IF(NOT(ISNUMBER(G94)),"Revisa",IF(H94="","Falta IVA",ROUND(G94*(1+H94/100),2))))</f>
        <v/>
      </c>
      <c r="K94" s="27">
        <f>IF(G94="","",IF(NOT(ISNUMBER(G94)),"Revisa",IF(H94="","Falta IVA",ROUND(G94*(1+(H94+IF(H94=21,5.2,IF(H94=10,1.4,IF(H94=4,0.5,0))))/100),2))))</f>
        <v/>
      </c>
      <c r="L94" s="27">
        <f>IF(G94="","",IF(NOT(ISNUMBER(G94)),"Revisa",ROUND(ROUND(G94*(1+N($K$8)/100)/$O$7,0)*$O$7,2)))</f>
        <v/>
      </c>
      <c r="M94" s="27">
        <f>IF(G94="","",IF(NOT(ISNUMBER(G94)),"Revisa",ROUND(ROUND(G94*(1+N($K$9)/100)/$O$7,0)*$O$7,2)))</f>
        <v/>
      </c>
      <c r="N94" s="27">
        <f>IF(G94="","",IF(NOT(ISNUMBER(G94)),"Revisa",ROUND(ROUND(G94*(1+N($K$10)/100)/$O$7,0)*$O$7,2)))</f>
        <v/>
      </c>
      <c r="O94">
        <f>IF(B94="","",MAX($O$12:O93)+1)</f>
        <v/>
      </c>
      <c r="P94">
        <f>IF(AND(B94="",G94&lt;&gt;""),1,0)</f>
        <v/>
      </c>
    </row>
    <row r="95">
      <c r="A95" s="21" t="n"/>
      <c r="B95" s="21" t="n"/>
      <c r="C95" s="21" t="n"/>
      <c r="D95" s="22" t="n"/>
      <c r="E95" s="21" t="n"/>
      <c r="F95" s="23" t="n"/>
      <c r="G95" s="24" t="n"/>
      <c r="H95" s="25" t="n"/>
      <c r="I95" s="26">
        <f>IF(OR(NOT(ISNUMBER(G95)),N(D95)&lt;=1),"",ROUND(G95/D95,3))</f>
        <v/>
      </c>
      <c r="J95" s="27">
        <f>IF(G95="","",IF(NOT(ISNUMBER(G95)),"Revisa",IF(H95="","Falta IVA",ROUND(G95*(1+H95/100),2))))</f>
        <v/>
      </c>
      <c r="K95" s="27">
        <f>IF(G95="","",IF(NOT(ISNUMBER(G95)),"Revisa",IF(H95="","Falta IVA",ROUND(G95*(1+(H95+IF(H95=21,5.2,IF(H95=10,1.4,IF(H95=4,0.5,0))))/100),2))))</f>
        <v/>
      </c>
      <c r="L95" s="27">
        <f>IF(G95="","",IF(NOT(ISNUMBER(G95)),"Revisa",ROUND(ROUND(G95*(1+N($K$8)/100)/$O$7,0)*$O$7,2)))</f>
        <v/>
      </c>
      <c r="M95" s="27">
        <f>IF(G95="","",IF(NOT(ISNUMBER(G95)),"Revisa",ROUND(ROUND(G95*(1+N($K$9)/100)/$O$7,0)*$O$7,2)))</f>
        <v/>
      </c>
      <c r="N95" s="27">
        <f>IF(G95="","",IF(NOT(ISNUMBER(G95)),"Revisa",ROUND(ROUND(G95*(1+N($K$10)/100)/$O$7,0)*$O$7,2)))</f>
        <v/>
      </c>
      <c r="O95">
        <f>IF(B95="","",MAX($O$12:O94)+1)</f>
        <v/>
      </c>
      <c r="P95">
        <f>IF(AND(B95="",G95&lt;&gt;""),1,0)</f>
        <v/>
      </c>
    </row>
    <row r="96">
      <c r="A96" s="21" t="n"/>
      <c r="B96" s="21" t="n"/>
      <c r="C96" s="21" t="n"/>
      <c r="D96" s="22" t="n"/>
      <c r="E96" s="21" t="n"/>
      <c r="F96" s="23" t="n"/>
      <c r="G96" s="24" t="n"/>
      <c r="H96" s="25" t="n"/>
      <c r="I96" s="26">
        <f>IF(OR(NOT(ISNUMBER(G96)),N(D96)&lt;=1),"",ROUND(G96/D96,3))</f>
        <v/>
      </c>
      <c r="J96" s="27">
        <f>IF(G96="","",IF(NOT(ISNUMBER(G96)),"Revisa",IF(H96="","Falta IVA",ROUND(G96*(1+H96/100),2))))</f>
        <v/>
      </c>
      <c r="K96" s="27">
        <f>IF(G96="","",IF(NOT(ISNUMBER(G96)),"Revisa",IF(H96="","Falta IVA",ROUND(G96*(1+(H96+IF(H96=21,5.2,IF(H96=10,1.4,IF(H96=4,0.5,0))))/100),2))))</f>
        <v/>
      </c>
      <c r="L96" s="27">
        <f>IF(G96="","",IF(NOT(ISNUMBER(G96)),"Revisa",ROUND(ROUND(G96*(1+N($K$8)/100)/$O$7,0)*$O$7,2)))</f>
        <v/>
      </c>
      <c r="M96" s="27">
        <f>IF(G96="","",IF(NOT(ISNUMBER(G96)),"Revisa",ROUND(ROUND(G96*(1+N($K$9)/100)/$O$7,0)*$O$7,2)))</f>
        <v/>
      </c>
      <c r="N96" s="27">
        <f>IF(G96="","",IF(NOT(ISNUMBER(G96)),"Revisa",ROUND(ROUND(G96*(1+N($K$10)/100)/$O$7,0)*$O$7,2)))</f>
        <v/>
      </c>
      <c r="O96">
        <f>IF(B96="","",MAX($O$12:O95)+1)</f>
        <v/>
      </c>
      <c r="P96">
        <f>IF(AND(B96="",G96&lt;&gt;""),1,0)</f>
        <v/>
      </c>
    </row>
    <row r="97">
      <c r="A97" s="21" t="n"/>
      <c r="B97" s="21" t="n"/>
      <c r="C97" s="21" t="n"/>
      <c r="D97" s="22" t="n"/>
      <c r="E97" s="21" t="n"/>
      <c r="F97" s="23" t="n"/>
      <c r="G97" s="24" t="n"/>
      <c r="H97" s="25" t="n"/>
      <c r="I97" s="26">
        <f>IF(OR(NOT(ISNUMBER(G97)),N(D97)&lt;=1),"",ROUND(G97/D97,3))</f>
        <v/>
      </c>
      <c r="J97" s="27">
        <f>IF(G97="","",IF(NOT(ISNUMBER(G97)),"Revisa",IF(H97="","Falta IVA",ROUND(G97*(1+H97/100),2))))</f>
        <v/>
      </c>
      <c r="K97" s="27">
        <f>IF(G97="","",IF(NOT(ISNUMBER(G97)),"Revisa",IF(H97="","Falta IVA",ROUND(G97*(1+(H97+IF(H97=21,5.2,IF(H97=10,1.4,IF(H97=4,0.5,0))))/100),2))))</f>
        <v/>
      </c>
      <c r="L97" s="27">
        <f>IF(G97="","",IF(NOT(ISNUMBER(G97)),"Revisa",ROUND(ROUND(G97*(1+N($K$8)/100)/$O$7,0)*$O$7,2)))</f>
        <v/>
      </c>
      <c r="M97" s="27">
        <f>IF(G97="","",IF(NOT(ISNUMBER(G97)),"Revisa",ROUND(ROUND(G97*(1+N($K$9)/100)/$O$7,0)*$O$7,2)))</f>
        <v/>
      </c>
      <c r="N97" s="27">
        <f>IF(G97="","",IF(NOT(ISNUMBER(G97)),"Revisa",ROUND(ROUND(G97*(1+N($K$10)/100)/$O$7,0)*$O$7,2)))</f>
        <v/>
      </c>
      <c r="O97">
        <f>IF(B97="","",MAX($O$12:O96)+1)</f>
        <v/>
      </c>
      <c r="P97">
        <f>IF(AND(B97="",G97&lt;&gt;""),1,0)</f>
        <v/>
      </c>
    </row>
    <row r="98">
      <c r="A98" s="21" t="n"/>
      <c r="B98" s="21" t="n"/>
      <c r="C98" s="21" t="n"/>
      <c r="D98" s="22" t="n"/>
      <c r="E98" s="21" t="n"/>
      <c r="F98" s="23" t="n"/>
      <c r="G98" s="24" t="n"/>
      <c r="H98" s="25" t="n"/>
      <c r="I98" s="26">
        <f>IF(OR(NOT(ISNUMBER(G98)),N(D98)&lt;=1),"",ROUND(G98/D98,3))</f>
        <v/>
      </c>
      <c r="J98" s="27">
        <f>IF(G98="","",IF(NOT(ISNUMBER(G98)),"Revisa",IF(H98="","Falta IVA",ROUND(G98*(1+H98/100),2))))</f>
        <v/>
      </c>
      <c r="K98" s="27">
        <f>IF(G98="","",IF(NOT(ISNUMBER(G98)),"Revisa",IF(H98="","Falta IVA",ROUND(G98*(1+(H98+IF(H98=21,5.2,IF(H98=10,1.4,IF(H98=4,0.5,0))))/100),2))))</f>
        <v/>
      </c>
      <c r="L98" s="27">
        <f>IF(G98="","",IF(NOT(ISNUMBER(G98)),"Revisa",ROUND(ROUND(G98*(1+N($K$8)/100)/$O$7,0)*$O$7,2)))</f>
        <v/>
      </c>
      <c r="M98" s="27">
        <f>IF(G98="","",IF(NOT(ISNUMBER(G98)),"Revisa",ROUND(ROUND(G98*(1+N($K$9)/100)/$O$7,0)*$O$7,2)))</f>
        <v/>
      </c>
      <c r="N98" s="27">
        <f>IF(G98="","",IF(NOT(ISNUMBER(G98)),"Revisa",ROUND(ROUND(G98*(1+N($K$10)/100)/$O$7,0)*$O$7,2)))</f>
        <v/>
      </c>
      <c r="O98">
        <f>IF(B98="","",MAX($O$12:O97)+1)</f>
        <v/>
      </c>
      <c r="P98">
        <f>IF(AND(B98="",G98&lt;&gt;""),1,0)</f>
        <v/>
      </c>
    </row>
    <row r="99">
      <c r="A99" s="21" t="n"/>
      <c r="B99" s="21" t="n"/>
      <c r="C99" s="21" t="n"/>
      <c r="D99" s="22" t="n"/>
      <c r="E99" s="21" t="n"/>
      <c r="F99" s="23" t="n"/>
      <c r="G99" s="24" t="n"/>
      <c r="H99" s="25" t="n"/>
      <c r="I99" s="26">
        <f>IF(OR(NOT(ISNUMBER(G99)),N(D99)&lt;=1),"",ROUND(G99/D99,3))</f>
        <v/>
      </c>
      <c r="J99" s="27">
        <f>IF(G99="","",IF(NOT(ISNUMBER(G99)),"Revisa",IF(H99="","Falta IVA",ROUND(G99*(1+H99/100),2))))</f>
        <v/>
      </c>
      <c r="K99" s="27">
        <f>IF(G99="","",IF(NOT(ISNUMBER(G99)),"Revisa",IF(H99="","Falta IVA",ROUND(G99*(1+(H99+IF(H99=21,5.2,IF(H99=10,1.4,IF(H99=4,0.5,0))))/100),2))))</f>
        <v/>
      </c>
      <c r="L99" s="27">
        <f>IF(G99="","",IF(NOT(ISNUMBER(G99)),"Revisa",ROUND(ROUND(G99*(1+N($K$8)/100)/$O$7,0)*$O$7,2)))</f>
        <v/>
      </c>
      <c r="M99" s="27">
        <f>IF(G99="","",IF(NOT(ISNUMBER(G99)),"Revisa",ROUND(ROUND(G99*(1+N($K$9)/100)/$O$7,0)*$O$7,2)))</f>
        <v/>
      </c>
      <c r="N99" s="27">
        <f>IF(G99="","",IF(NOT(ISNUMBER(G99)),"Revisa",ROUND(ROUND(G99*(1+N($K$10)/100)/$O$7,0)*$O$7,2)))</f>
        <v/>
      </c>
      <c r="O99">
        <f>IF(B99="","",MAX($O$12:O98)+1)</f>
        <v/>
      </c>
      <c r="P99">
        <f>IF(AND(B99="",G99&lt;&gt;""),1,0)</f>
        <v/>
      </c>
    </row>
    <row r="100">
      <c r="A100" s="21" t="n"/>
      <c r="B100" s="21" t="n"/>
      <c r="C100" s="21" t="n"/>
      <c r="D100" s="22" t="n"/>
      <c r="E100" s="21" t="n"/>
      <c r="F100" s="23" t="n"/>
      <c r="G100" s="24" t="n"/>
      <c r="H100" s="25" t="n"/>
      <c r="I100" s="26">
        <f>IF(OR(NOT(ISNUMBER(G100)),N(D100)&lt;=1),"",ROUND(G100/D100,3))</f>
        <v/>
      </c>
      <c r="J100" s="27">
        <f>IF(G100="","",IF(NOT(ISNUMBER(G100)),"Revisa",IF(H100="","Falta IVA",ROUND(G100*(1+H100/100),2))))</f>
        <v/>
      </c>
      <c r="K100" s="27">
        <f>IF(G100="","",IF(NOT(ISNUMBER(G100)),"Revisa",IF(H100="","Falta IVA",ROUND(G100*(1+(H100+IF(H100=21,5.2,IF(H100=10,1.4,IF(H100=4,0.5,0))))/100),2))))</f>
        <v/>
      </c>
      <c r="L100" s="27">
        <f>IF(G100="","",IF(NOT(ISNUMBER(G100)),"Revisa",ROUND(ROUND(G100*(1+N($K$8)/100)/$O$7,0)*$O$7,2)))</f>
        <v/>
      </c>
      <c r="M100" s="27">
        <f>IF(G100="","",IF(NOT(ISNUMBER(G100)),"Revisa",ROUND(ROUND(G100*(1+N($K$9)/100)/$O$7,0)*$O$7,2)))</f>
        <v/>
      </c>
      <c r="N100" s="27">
        <f>IF(G100="","",IF(NOT(ISNUMBER(G100)),"Revisa",ROUND(ROUND(G100*(1+N($K$10)/100)/$O$7,0)*$O$7,2)))</f>
        <v/>
      </c>
      <c r="O100">
        <f>IF(B100="","",MAX($O$12:O99)+1)</f>
        <v/>
      </c>
      <c r="P100">
        <f>IF(AND(B100="",G100&lt;&gt;""),1,0)</f>
        <v/>
      </c>
    </row>
    <row r="101">
      <c r="A101" s="21" t="n"/>
      <c r="B101" s="21" t="n"/>
      <c r="C101" s="21" t="n"/>
      <c r="D101" s="22" t="n"/>
      <c r="E101" s="21" t="n"/>
      <c r="F101" s="23" t="n"/>
      <c r="G101" s="24" t="n"/>
      <c r="H101" s="25" t="n"/>
      <c r="I101" s="26">
        <f>IF(OR(NOT(ISNUMBER(G101)),N(D101)&lt;=1),"",ROUND(G101/D101,3))</f>
        <v/>
      </c>
      <c r="J101" s="27">
        <f>IF(G101="","",IF(NOT(ISNUMBER(G101)),"Revisa",IF(H101="","Falta IVA",ROUND(G101*(1+H101/100),2))))</f>
        <v/>
      </c>
      <c r="K101" s="27">
        <f>IF(G101="","",IF(NOT(ISNUMBER(G101)),"Revisa",IF(H101="","Falta IVA",ROUND(G101*(1+(H101+IF(H101=21,5.2,IF(H101=10,1.4,IF(H101=4,0.5,0))))/100),2))))</f>
        <v/>
      </c>
      <c r="L101" s="27">
        <f>IF(G101="","",IF(NOT(ISNUMBER(G101)),"Revisa",ROUND(ROUND(G101*(1+N($K$8)/100)/$O$7,0)*$O$7,2)))</f>
        <v/>
      </c>
      <c r="M101" s="27">
        <f>IF(G101="","",IF(NOT(ISNUMBER(G101)),"Revisa",ROUND(ROUND(G101*(1+N($K$9)/100)/$O$7,0)*$O$7,2)))</f>
        <v/>
      </c>
      <c r="N101" s="27">
        <f>IF(G101="","",IF(NOT(ISNUMBER(G101)),"Revisa",ROUND(ROUND(G101*(1+N($K$10)/100)/$O$7,0)*$O$7,2)))</f>
        <v/>
      </c>
      <c r="O101">
        <f>IF(B101="","",MAX($O$12:O100)+1)</f>
        <v/>
      </c>
      <c r="P101">
        <f>IF(AND(B101="",G101&lt;&gt;""),1,0)</f>
        <v/>
      </c>
    </row>
    <row r="102">
      <c r="A102" s="21" t="n"/>
      <c r="B102" s="21" t="n"/>
      <c r="C102" s="21" t="n"/>
      <c r="D102" s="22" t="n"/>
      <c r="E102" s="21" t="n"/>
      <c r="F102" s="23" t="n"/>
      <c r="G102" s="24" t="n"/>
      <c r="H102" s="25" t="n"/>
      <c r="I102" s="26">
        <f>IF(OR(NOT(ISNUMBER(G102)),N(D102)&lt;=1),"",ROUND(G102/D102,3))</f>
        <v/>
      </c>
      <c r="J102" s="27">
        <f>IF(G102="","",IF(NOT(ISNUMBER(G102)),"Revisa",IF(H102="","Falta IVA",ROUND(G102*(1+H102/100),2))))</f>
        <v/>
      </c>
      <c r="K102" s="27">
        <f>IF(G102="","",IF(NOT(ISNUMBER(G102)),"Revisa",IF(H102="","Falta IVA",ROUND(G102*(1+(H102+IF(H102=21,5.2,IF(H102=10,1.4,IF(H102=4,0.5,0))))/100),2))))</f>
        <v/>
      </c>
      <c r="L102" s="27">
        <f>IF(G102="","",IF(NOT(ISNUMBER(G102)),"Revisa",ROUND(ROUND(G102*(1+N($K$8)/100)/$O$7,0)*$O$7,2)))</f>
        <v/>
      </c>
      <c r="M102" s="27">
        <f>IF(G102="","",IF(NOT(ISNUMBER(G102)),"Revisa",ROUND(ROUND(G102*(1+N($K$9)/100)/$O$7,0)*$O$7,2)))</f>
        <v/>
      </c>
      <c r="N102" s="27">
        <f>IF(G102="","",IF(NOT(ISNUMBER(G102)),"Revisa",ROUND(ROUND(G102*(1+N($K$10)/100)/$O$7,0)*$O$7,2)))</f>
        <v/>
      </c>
      <c r="O102">
        <f>IF(B102="","",MAX($O$12:O101)+1)</f>
        <v/>
      </c>
      <c r="P102">
        <f>IF(AND(B102="",G102&lt;&gt;""),1,0)</f>
        <v/>
      </c>
    </row>
    <row r="103">
      <c r="A103" s="21" t="n"/>
      <c r="B103" s="21" t="n"/>
      <c r="C103" s="21" t="n"/>
      <c r="D103" s="22" t="n"/>
      <c r="E103" s="21" t="n"/>
      <c r="F103" s="23" t="n"/>
      <c r="G103" s="24" t="n"/>
      <c r="H103" s="25" t="n"/>
      <c r="I103" s="26">
        <f>IF(OR(NOT(ISNUMBER(G103)),N(D103)&lt;=1),"",ROUND(G103/D103,3))</f>
        <v/>
      </c>
      <c r="J103" s="27">
        <f>IF(G103="","",IF(NOT(ISNUMBER(G103)),"Revisa",IF(H103="","Falta IVA",ROUND(G103*(1+H103/100),2))))</f>
        <v/>
      </c>
      <c r="K103" s="27">
        <f>IF(G103="","",IF(NOT(ISNUMBER(G103)),"Revisa",IF(H103="","Falta IVA",ROUND(G103*(1+(H103+IF(H103=21,5.2,IF(H103=10,1.4,IF(H103=4,0.5,0))))/100),2))))</f>
        <v/>
      </c>
      <c r="L103" s="27">
        <f>IF(G103="","",IF(NOT(ISNUMBER(G103)),"Revisa",ROUND(ROUND(G103*(1+N($K$8)/100)/$O$7,0)*$O$7,2)))</f>
        <v/>
      </c>
      <c r="M103" s="27">
        <f>IF(G103="","",IF(NOT(ISNUMBER(G103)),"Revisa",ROUND(ROUND(G103*(1+N($K$9)/100)/$O$7,0)*$O$7,2)))</f>
        <v/>
      </c>
      <c r="N103" s="27">
        <f>IF(G103="","",IF(NOT(ISNUMBER(G103)),"Revisa",ROUND(ROUND(G103*(1+N($K$10)/100)/$O$7,0)*$O$7,2)))</f>
        <v/>
      </c>
      <c r="O103">
        <f>IF(B103="","",MAX($O$12:O102)+1)</f>
        <v/>
      </c>
      <c r="P103">
        <f>IF(AND(B103="",G103&lt;&gt;""),1,0)</f>
        <v/>
      </c>
    </row>
    <row r="104">
      <c r="A104" s="21" t="n"/>
      <c r="B104" s="21" t="n"/>
      <c r="C104" s="21" t="n"/>
      <c r="D104" s="22" t="n"/>
      <c r="E104" s="21" t="n"/>
      <c r="F104" s="23" t="n"/>
      <c r="G104" s="24" t="n"/>
      <c r="H104" s="25" t="n"/>
      <c r="I104" s="26">
        <f>IF(OR(NOT(ISNUMBER(G104)),N(D104)&lt;=1),"",ROUND(G104/D104,3))</f>
        <v/>
      </c>
      <c r="J104" s="27">
        <f>IF(G104="","",IF(NOT(ISNUMBER(G104)),"Revisa",IF(H104="","Falta IVA",ROUND(G104*(1+H104/100),2))))</f>
        <v/>
      </c>
      <c r="K104" s="27">
        <f>IF(G104="","",IF(NOT(ISNUMBER(G104)),"Revisa",IF(H104="","Falta IVA",ROUND(G104*(1+(H104+IF(H104=21,5.2,IF(H104=10,1.4,IF(H104=4,0.5,0))))/100),2))))</f>
        <v/>
      </c>
      <c r="L104" s="27">
        <f>IF(G104="","",IF(NOT(ISNUMBER(G104)),"Revisa",ROUND(ROUND(G104*(1+N($K$8)/100)/$O$7,0)*$O$7,2)))</f>
        <v/>
      </c>
      <c r="M104" s="27">
        <f>IF(G104="","",IF(NOT(ISNUMBER(G104)),"Revisa",ROUND(ROUND(G104*(1+N($K$9)/100)/$O$7,0)*$O$7,2)))</f>
        <v/>
      </c>
      <c r="N104" s="27">
        <f>IF(G104="","",IF(NOT(ISNUMBER(G104)),"Revisa",ROUND(ROUND(G104*(1+N($K$10)/100)/$O$7,0)*$O$7,2)))</f>
        <v/>
      </c>
      <c r="O104">
        <f>IF(B104="","",MAX($O$12:O103)+1)</f>
        <v/>
      </c>
      <c r="P104">
        <f>IF(AND(B104="",G104&lt;&gt;""),1,0)</f>
        <v/>
      </c>
    </row>
    <row r="105">
      <c r="A105" s="21" t="n"/>
      <c r="B105" s="21" t="n"/>
      <c r="C105" s="21" t="n"/>
      <c r="D105" s="22" t="n"/>
      <c r="E105" s="21" t="n"/>
      <c r="F105" s="23" t="n"/>
      <c r="G105" s="24" t="n"/>
      <c r="H105" s="25" t="n"/>
      <c r="I105" s="26">
        <f>IF(OR(NOT(ISNUMBER(G105)),N(D105)&lt;=1),"",ROUND(G105/D105,3))</f>
        <v/>
      </c>
      <c r="J105" s="27">
        <f>IF(G105="","",IF(NOT(ISNUMBER(G105)),"Revisa",IF(H105="","Falta IVA",ROUND(G105*(1+H105/100),2))))</f>
        <v/>
      </c>
      <c r="K105" s="27">
        <f>IF(G105="","",IF(NOT(ISNUMBER(G105)),"Revisa",IF(H105="","Falta IVA",ROUND(G105*(1+(H105+IF(H105=21,5.2,IF(H105=10,1.4,IF(H105=4,0.5,0))))/100),2))))</f>
        <v/>
      </c>
      <c r="L105" s="27">
        <f>IF(G105="","",IF(NOT(ISNUMBER(G105)),"Revisa",ROUND(ROUND(G105*(1+N($K$8)/100)/$O$7,0)*$O$7,2)))</f>
        <v/>
      </c>
      <c r="M105" s="27">
        <f>IF(G105="","",IF(NOT(ISNUMBER(G105)),"Revisa",ROUND(ROUND(G105*(1+N($K$9)/100)/$O$7,0)*$O$7,2)))</f>
        <v/>
      </c>
      <c r="N105" s="27">
        <f>IF(G105="","",IF(NOT(ISNUMBER(G105)),"Revisa",ROUND(ROUND(G105*(1+N($K$10)/100)/$O$7,0)*$O$7,2)))</f>
        <v/>
      </c>
      <c r="O105">
        <f>IF(B105="","",MAX($O$12:O104)+1)</f>
        <v/>
      </c>
      <c r="P105">
        <f>IF(AND(B105="",G105&lt;&gt;""),1,0)</f>
        <v/>
      </c>
    </row>
    <row r="106">
      <c r="A106" s="21" t="n"/>
      <c r="B106" s="21" t="n"/>
      <c r="C106" s="21" t="n"/>
      <c r="D106" s="22" t="n"/>
      <c r="E106" s="21" t="n"/>
      <c r="F106" s="23" t="n"/>
      <c r="G106" s="24" t="n"/>
      <c r="H106" s="25" t="n"/>
      <c r="I106" s="26">
        <f>IF(OR(NOT(ISNUMBER(G106)),N(D106)&lt;=1),"",ROUND(G106/D106,3))</f>
        <v/>
      </c>
      <c r="J106" s="27">
        <f>IF(G106="","",IF(NOT(ISNUMBER(G106)),"Revisa",IF(H106="","Falta IVA",ROUND(G106*(1+H106/100),2))))</f>
        <v/>
      </c>
      <c r="K106" s="27">
        <f>IF(G106="","",IF(NOT(ISNUMBER(G106)),"Revisa",IF(H106="","Falta IVA",ROUND(G106*(1+(H106+IF(H106=21,5.2,IF(H106=10,1.4,IF(H106=4,0.5,0))))/100),2))))</f>
        <v/>
      </c>
      <c r="L106" s="27">
        <f>IF(G106="","",IF(NOT(ISNUMBER(G106)),"Revisa",ROUND(ROUND(G106*(1+N($K$8)/100)/$O$7,0)*$O$7,2)))</f>
        <v/>
      </c>
      <c r="M106" s="27">
        <f>IF(G106="","",IF(NOT(ISNUMBER(G106)),"Revisa",ROUND(ROUND(G106*(1+N($K$9)/100)/$O$7,0)*$O$7,2)))</f>
        <v/>
      </c>
      <c r="N106" s="27">
        <f>IF(G106="","",IF(NOT(ISNUMBER(G106)),"Revisa",ROUND(ROUND(G106*(1+N($K$10)/100)/$O$7,0)*$O$7,2)))</f>
        <v/>
      </c>
      <c r="O106">
        <f>IF(B106="","",MAX($O$12:O105)+1)</f>
        <v/>
      </c>
      <c r="P106">
        <f>IF(AND(B106="",G106&lt;&gt;""),1,0)</f>
        <v/>
      </c>
    </row>
    <row r="107">
      <c r="A107" s="21" t="n"/>
      <c r="B107" s="21" t="n"/>
      <c r="C107" s="21" t="n"/>
      <c r="D107" s="22" t="n"/>
      <c r="E107" s="21" t="n"/>
      <c r="F107" s="23" t="n"/>
      <c r="G107" s="24" t="n"/>
      <c r="H107" s="25" t="n"/>
      <c r="I107" s="26">
        <f>IF(OR(NOT(ISNUMBER(G107)),N(D107)&lt;=1),"",ROUND(G107/D107,3))</f>
        <v/>
      </c>
      <c r="J107" s="27">
        <f>IF(G107="","",IF(NOT(ISNUMBER(G107)),"Revisa",IF(H107="","Falta IVA",ROUND(G107*(1+H107/100),2))))</f>
        <v/>
      </c>
      <c r="K107" s="27">
        <f>IF(G107="","",IF(NOT(ISNUMBER(G107)),"Revisa",IF(H107="","Falta IVA",ROUND(G107*(1+(H107+IF(H107=21,5.2,IF(H107=10,1.4,IF(H107=4,0.5,0))))/100),2))))</f>
        <v/>
      </c>
      <c r="L107" s="27">
        <f>IF(G107="","",IF(NOT(ISNUMBER(G107)),"Revisa",ROUND(ROUND(G107*(1+N($K$8)/100)/$O$7,0)*$O$7,2)))</f>
        <v/>
      </c>
      <c r="M107" s="27">
        <f>IF(G107="","",IF(NOT(ISNUMBER(G107)),"Revisa",ROUND(ROUND(G107*(1+N($K$9)/100)/$O$7,0)*$O$7,2)))</f>
        <v/>
      </c>
      <c r="N107" s="27">
        <f>IF(G107="","",IF(NOT(ISNUMBER(G107)),"Revisa",ROUND(ROUND(G107*(1+N($K$10)/100)/$O$7,0)*$O$7,2)))</f>
        <v/>
      </c>
      <c r="O107">
        <f>IF(B107="","",MAX($O$12:O106)+1)</f>
        <v/>
      </c>
      <c r="P107">
        <f>IF(AND(B107="",G107&lt;&gt;""),1,0)</f>
        <v/>
      </c>
    </row>
    <row r="108">
      <c r="A108" s="21" t="n"/>
      <c r="B108" s="21" t="n"/>
      <c r="C108" s="21" t="n"/>
      <c r="D108" s="22" t="n"/>
      <c r="E108" s="21" t="n"/>
      <c r="F108" s="23" t="n"/>
      <c r="G108" s="24" t="n"/>
      <c r="H108" s="25" t="n"/>
      <c r="I108" s="26">
        <f>IF(OR(NOT(ISNUMBER(G108)),N(D108)&lt;=1),"",ROUND(G108/D108,3))</f>
        <v/>
      </c>
      <c r="J108" s="27">
        <f>IF(G108="","",IF(NOT(ISNUMBER(G108)),"Revisa",IF(H108="","Falta IVA",ROUND(G108*(1+H108/100),2))))</f>
        <v/>
      </c>
      <c r="K108" s="27">
        <f>IF(G108="","",IF(NOT(ISNUMBER(G108)),"Revisa",IF(H108="","Falta IVA",ROUND(G108*(1+(H108+IF(H108=21,5.2,IF(H108=10,1.4,IF(H108=4,0.5,0))))/100),2))))</f>
        <v/>
      </c>
      <c r="L108" s="27">
        <f>IF(G108="","",IF(NOT(ISNUMBER(G108)),"Revisa",ROUND(ROUND(G108*(1+N($K$8)/100)/$O$7,0)*$O$7,2)))</f>
        <v/>
      </c>
      <c r="M108" s="27">
        <f>IF(G108="","",IF(NOT(ISNUMBER(G108)),"Revisa",ROUND(ROUND(G108*(1+N($K$9)/100)/$O$7,0)*$O$7,2)))</f>
        <v/>
      </c>
      <c r="N108" s="27">
        <f>IF(G108="","",IF(NOT(ISNUMBER(G108)),"Revisa",ROUND(ROUND(G108*(1+N($K$10)/100)/$O$7,0)*$O$7,2)))</f>
        <v/>
      </c>
      <c r="O108">
        <f>IF(B108="","",MAX($O$12:O107)+1)</f>
        <v/>
      </c>
      <c r="P108">
        <f>IF(AND(B108="",G108&lt;&gt;""),1,0)</f>
        <v/>
      </c>
    </row>
    <row r="109">
      <c r="A109" s="21" t="n"/>
      <c r="B109" s="21" t="n"/>
      <c r="C109" s="21" t="n"/>
      <c r="D109" s="22" t="n"/>
      <c r="E109" s="21" t="n"/>
      <c r="F109" s="23" t="n"/>
      <c r="G109" s="24" t="n"/>
      <c r="H109" s="25" t="n"/>
      <c r="I109" s="26">
        <f>IF(OR(NOT(ISNUMBER(G109)),N(D109)&lt;=1),"",ROUND(G109/D109,3))</f>
        <v/>
      </c>
      <c r="J109" s="27">
        <f>IF(G109="","",IF(NOT(ISNUMBER(G109)),"Revisa",IF(H109="","Falta IVA",ROUND(G109*(1+H109/100),2))))</f>
        <v/>
      </c>
      <c r="K109" s="27">
        <f>IF(G109="","",IF(NOT(ISNUMBER(G109)),"Revisa",IF(H109="","Falta IVA",ROUND(G109*(1+(H109+IF(H109=21,5.2,IF(H109=10,1.4,IF(H109=4,0.5,0))))/100),2))))</f>
        <v/>
      </c>
      <c r="L109" s="27">
        <f>IF(G109="","",IF(NOT(ISNUMBER(G109)),"Revisa",ROUND(ROUND(G109*(1+N($K$8)/100)/$O$7,0)*$O$7,2)))</f>
        <v/>
      </c>
      <c r="M109" s="27">
        <f>IF(G109="","",IF(NOT(ISNUMBER(G109)),"Revisa",ROUND(ROUND(G109*(1+N($K$9)/100)/$O$7,0)*$O$7,2)))</f>
        <v/>
      </c>
      <c r="N109" s="27">
        <f>IF(G109="","",IF(NOT(ISNUMBER(G109)),"Revisa",ROUND(ROUND(G109*(1+N($K$10)/100)/$O$7,0)*$O$7,2)))</f>
        <v/>
      </c>
      <c r="O109">
        <f>IF(B109="","",MAX($O$12:O108)+1)</f>
        <v/>
      </c>
      <c r="P109">
        <f>IF(AND(B109="",G109&lt;&gt;""),1,0)</f>
        <v/>
      </c>
    </row>
    <row r="110">
      <c r="A110" s="21" t="n"/>
      <c r="B110" s="21" t="n"/>
      <c r="C110" s="21" t="n"/>
      <c r="D110" s="22" t="n"/>
      <c r="E110" s="21" t="n"/>
      <c r="F110" s="23" t="n"/>
      <c r="G110" s="24" t="n"/>
      <c r="H110" s="25" t="n"/>
      <c r="I110" s="26">
        <f>IF(OR(NOT(ISNUMBER(G110)),N(D110)&lt;=1),"",ROUND(G110/D110,3))</f>
        <v/>
      </c>
      <c r="J110" s="27">
        <f>IF(G110="","",IF(NOT(ISNUMBER(G110)),"Revisa",IF(H110="","Falta IVA",ROUND(G110*(1+H110/100),2))))</f>
        <v/>
      </c>
      <c r="K110" s="27">
        <f>IF(G110="","",IF(NOT(ISNUMBER(G110)),"Revisa",IF(H110="","Falta IVA",ROUND(G110*(1+(H110+IF(H110=21,5.2,IF(H110=10,1.4,IF(H110=4,0.5,0))))/100),2))))</f>
        <v/>
      </c>
      <c r="L110" s="27">
        <f>IF(G110="","",IF(NOT(ISNUMBER(G110)),"Revisa",ROUND(ROUND(G110*(1+N($K$8)/100)/$O$7,0)*$O$7,2)))</f>
        <v/>
      </c>
      <c r="M110" s="27">
        <f>IF(G110="","",IF(NOT(ISNUMBER(G110)),"Revisa",ROUND(ROUND(G110*(1+N($K$9)/100)/$O$7,0)*$O$7,2)))</f>
        <v/>
      </c>
      <c r="N110" s="27">
        <f>IF(G110="","",IF(NOT(ISNUMBER(G110)),"Revisa",ROUND(ROUND(G110*(1+N($K$10)/100)/$O$7,0)*$O$7,2)))</f>
        <v/>
      </c>
      <c r="O110">
        <f>IF(B110="","",MAX($O$12:O109)+1)</f>
        <v/>
      </c>
      <c r="P110">
        <f>IF(AND(B110="",G110&lt;&gt;""),1,0)</f>
        <v/>
      </c>
    </row>
    <row r="111">
      <c r="A111" s="21" t="n"/>
      <c r="B111" s="21" t="n"/>
      <c r="C111" s="21" t="n"/>
      <c r="D111" s="22" t="n"/>
      <c r="E111" s="21" t="n"/>
      <c r="F111" s="23" t="n"/>
      <c r="G111" s="24" t="n"/>
      <c r="H111" s="25" t="n"/>
      <c r="I111" s="26">
        <f>IF(OR(NOT(ISNUMBER(G111)),N(D111)&lt;=1),"",ROUND(G111/D111,3))</f>
        <v/>
      </c>
      <c r="J111" s="27">
        <f>IF(G111="","",IF(NOT(ISNUMBER(G111)),"Revisa",IF(H111="","Falta IVA",ROUND(G111*(1+H111/100),2))))</f>
        <v/>
      </c>
      <c r="K111" s="27">
        <f>IF(G111="","",IF(NOT(ISNUMBER(G111)),"Revisa",IF(H111="","Falta IVA",ROUND(G111*(1+(H111+IF(H111=21,5.2,IF(H111=10,1.4,IF(H111=4,0.5,0))))/100),2))))</f>
        <v/>
      </c>
      <c r="L111" s="27">
        <f>IF(G111="","",IF(NOT(ISNUMBER(G111)),"Revisa",ROUND(ROUND(G111*(1+N($K$8)/100)/$O$7,0)*$O$7,2)))</f>
        <v/>
      </c>
      <c r="M111" s="27">
        <f>IF(G111="","",IF(NOT(ISNUMBER(G111)),"Revisa",ROUND(ROUND(G111*(1+N($K$9)/100)/$O$7,0)*$O$7,2)))</f>
        <v/>
      </c>
      <c r="N111" s="27">
        <f>IF(G111="","",IF(NOT(ISNUMBER(G111)),"Revisa",ROUND(ROUND(G111*(1+N($K$10)/100)/$O$7,0)*$O$7,2)))</f>
        <v/>
      </c>
      <c r="O111">
        <f>IF(B111="","",MAX($O$12:O110)+1)</f>
        <v/>
      </c>
      <c r="P111">
        <f>IF(AND(B111="",G111&lt;&gt;""),1,0)</f>
        <v/>
      </c>
    </row>
    <row r="112">
      <c r="A112" s="21" t="n"/>
      <c r="B112" s="21" t="n"/>
      <c r="C112" s="21" t="n"/>
      <c r="D112" s="22" t="n"/>
      <c r="E112" s="21" t="n"/>
      <c r="F112" s="23" t="n"/>
      <c r="G112" s="24" t="n"/>
      <c r="H112" s="25" t="n"/>
      <c r="I112" s="26">
        <f>IF(OR(NOT(ISNUMBER(G112)),N(D112)&lt;=1),"",ROUND(G112/D112,3))</f>
        <v/>
      </c>
      <c r="J112" s="27">
        <f>IF(G112="","",IF(NOT(ISNUMBER(G112)),"Revisa",IF(H112="","Falta IVA",ROUND(G112*(1+H112/100),2))))</f>
        <v/>
      </c>
      <c r="K112" s="27">
        <f>IF(G112="","",IF(NOT(ISNUMBER(G112)),"Revisa",IF(H112="","Falta IVA",ROUND(G112*(1+(H112+IF(H112=21,5.2,IF(H112=10,1.4,IF(H112=4,0.5,0))))/100),2))))</f>
        <v/>
      </c>
      <c r="L112" s="27">
        <f>IF(G112="","",IF(NOT(ISNUMBER(G112)),"Revisa",ROUND(ROUND(G112*(1+N($K$8)/100)/$O$7,0)*$O$7,2)))</f>
        <v/>
      </c>
      <c r="M112" s="27">
        <f>IF(G112="","",IF(NOT(ISNUMBER(G112)),"Revisa",ROUND(ROUND(G112*(1+N($K$9)/100)/$O$7,0)*$O$7,2)))</f>
        <v/>
      </c>
      <c r="N112" s="27">
        <f>IF(G112="","",IF(NOT(ISNUMBER(G112)),"Revisa",ROUND(ROUND(G112*(1+N($K$10)/100)/$O$7,0)*$O$7,2)))</f>
        <v/>
      </c>
      <c r="O112">
        <f>IF(B112="","",MAX($O$12:O111)+1)</f>
        <v/>
      </c>
      <c r="P112">
        <f>IF(AND(B112="",G112&lt;&gt;""),1,0)</f>
        <v/>
      </c>
    </row>
    <row r="113">
      <c r="A113" s="21" t="n"/>
      <c r="B113" s="21" t="n"/>
      <c r="C113" s="21" t="n"/>
      <c r="D113" s="22" t="n"/>
      <c r="E113" s="21" t="n"/>
      <c r="F113" s="23" t="n"/>
      <c r="G113" s="24" t="n"/>
      <c r="H113" s="25" t="n"/>
      <c r="I113" s="26">
        <f>IF(OR(NOT(ISNUMBER(G113)),N(D113)&lt;=1),"",ROUND(G113/D113,3))</f>
        <v/>
      </c>
      <c r="J113" s="27">
        <f>IF(G113="","",IF(NOT(ISNUMBER(G113)),"Revisa",IF(H113="","Falta IVA",ROUND(G113*(1+H113/100),2))))</f>
        <v/>
      </c>
      <c r="K113" s="27">
        <f>IF(G113="","",IF(NOT(ISNUMBER(G113)),"Revisa",IF(H113="","Falta IVA",ROUND(G113*(1+(H113+IF(H113=21,5.2,IF(H113=10,1.4,IF(H113=4,0.5,0))))/100),2))))</f>
        <v/>
      </c>
      <c r="L113" s="27">
        <f>IF(G113="","",IF(NOT(ISNUMBER(G113)),"Revisa",ROUND(ROUND(G113*(1+N($K$8)/100)/$O$7,0)*$O$7,2)))</f>
        <v/>
      </c>
      <c r="M113" s="27">
        <f>IF(G113="","",IF(NOT(ISNUMBER(G113)),"Revisa",ROUND(ROUND(G113*(1+N($K$9)/100)/$O$7,0)*$O$7,2)))</f>
        <v/>
      </c>
      <c r="N113" s="27">
        <f>IF(G113="","",IF(NOT(ISNUMBER(G113)),"Revisa",ROUND(ROUND(G113*(1+N($K$10)/100)/$O$7,0)*$O$7,2)))</f>
        <v/>
      </c>
      <c r="O113">
        <f>IF(B113="","",MAX($O$12:O112)+1)</f>
        <v/>
      </c>
      <c r="P113">
        <f>IF(AND(B113="",G113&lt;&gt;""),1,0)</f>
        <v/>
      </c>
    </row>
    <row r="114">
      <c r="A114" s="21" t="n"/>
      <c r="B114" s="21" t="n"/>
      <c r="C114" s="21" t="n"/>
      <c r="D114" s="22" t="n"/>
      <c r="E114" s="21" t="n"/>
      <c r="F114" s="23" t="n"/>
      <c r="G114" s="24" t="n"/>
      <c r="H114" s="25" t="n"/>
      <c r="I114" s="26">
        <f>IF(OR(NOT(ISNUMBER(G114)),N(D114)&lt;=1),"",ROUND(G114/D114,3))</f>
        <v/>
      </c>
      <c r="J114" s="27">
        <f>IF(G114="","",IF(NOT(ISNUMBER(G114)),"Revisa",IF(H114="","Falta IVA",ROUND(G114*(1+H114/100),2))))</f>
        <v/>
      </c>
      <c r="K114" s="27">
        <f>IF(G114="","",IF(NOT(ISNUMBER(G114)),"Revisa",IF(H114="","Falta IVA",ROUND(G114*(1+(H114+IF(H114=21,5.2,IF(H114=10,1.4,IF(H114=4,0.5,0))))/100),2))))</f>
        <v/>
      </c>
      <c r="L114" s="27">
        <f>IF(G114="","",IF(NOT(ISNUMBER(G114)),"Revisa",ROUND(ROUND(G114*(1+N($K$8)/100)/$O$7,0)*$O$7,2)))</f>
        <v/>
      </c>
      <c r="M114" s="27">
        <f>IF(G114="","",IF(NOT(ISNUMBER(G114)),"Revisa",ROUND(ROUND(G114*(1+N($K$9)/100)/$O$7,0)*$O$7,2)))</f>
        <v/>
      </c>
      <c r="N114" s="27">
        <f>IF(G114="","",IF(NOT(ISNUMBER(G114)),"Revisa",ROUND(ROUND(G114*(1+N($K$10)/100)/$O$7,0)*$O$7,2)))</f>
        <v/>
      </c>
      <c r="O114">
        <f>IF(B114="","",MAX($O$12:O113)+1)</f>
        <v/>
      </c>
      <c r="P114">
        <f>IF(AND(B114="",G114&lt;&gt;""),1,0)</f>
        <v/>
      </c>
    </row>
    <row r="115">
      <c r="A115" s="21" t="n"/>
      <c r="B115" s="21" t="n"/>
      <c r="C115" s="21" t="n"/>
      <c r="D115" s="22" t="n"/>
      <c r="E115" s="21" t="n"/>
      <c r="F115" s="23" t="n"/>
      <c r="G115" s="24" t="n"/>
      <c r="H115" s="25" t="n"/>
      <c r="I115" s="26">
        <f>IF(OR(NOT(ISNUMBER(G115)),N(D115)&lt;=1),"",ROUND(G115/D115,3))</f>
        <v/>
      </c>
      <c r="J115" s="27">
        <f>IF(G115="","",IF(NOT(ISNUMBER(G115)),"Revisa",IF(H115="","Falta IVA",ROUND(G115*(1+H115/100),2))))</f>
        <v/>
      </c>
      <c r="K115" s="27">
        <f>IF(G115="","",IF(NOT(ISNUMBER(G115)),"Revisa",IF(H115="","Falta IVA",ROUND(G115*(1+(H115+IF(H115=21,5.2,IF(H115=10,1.4,IF(H115=4,0.5,0))))/100),2))))</f>
        <v/>
      </c>
      <c r="L115" s="27">
        <f>IF(G115="","",IF(NOT(ISNUMBER(G115)),"Revisa",ROUND(ROUND(G115*(1+N($K$8)/100)/$O$7,0)*$O$7,2)))</f>
        <v/>
      </c>
      <c r="M115" s="27">
        <f>IF(G115="","",IF(NOT(ISNUMBER(G115)),"Revisa",ROUND(ROUND(G115*(1+N($K$9)/100)/$O$7,0)*$O$7,2)))</f>
        <v/>
      </c>
      <c r="N115" s="27">
        <f>IF(G115="","",IF(NOT(ISNUMBER(G115)),"Revisa",ROUND(ROUND(G115*(1+N($K$10)/100)/$O$7,0)*$O$7,2)))</f>
        <v/>
      </c>
      <c r="O115">
        <f>IF(B115="","",MAX($O$12:O114)+1)</f>
        <v/>
      </c>
      <c r="P115">
        <f>IF(AND(B115="",G115&lt;&gt;""),1,0)</f>
        <v/>
      </c>
    </row>
    <row r="116">
      <c r="A116" s="21" t="n"/>
      <c r="B116" s="21" t="n"/>
      <c r="C116" s="21" t="n"/>
      <c r="D116" s="22" t="n"/>
      <c r="E116" s="21" t="n"/>
      <c r="F116" s="23" t="n"/>
      <c r="G116" s="24" t="n"/>
      <c r="H116" s="25" t="n"/>
      <c r="I116" s="26">
        <f>IF(OR(NOT(ISNUMBER(G116)),N(D116)&lt;=1),"",ROUND(G116/D116,3))</f>
        <v/>
      </c>
      <c r="J116" s="27">
        <f>IF(G116="","",IF(NOT(ISNUMBER(G116)),"Revisa",IF(H116="","Falta IVA",ROUND(G116*(1+H116/100),2))))</f>
        <v/>
      </c>
      <c r="K116" s="27">
        <f>IF(G116="","",IF(NOT(ISNUMBER(G116)),"Revisa",IF(H116="","Falta IVA",ROUND(G116*(1+(H116+IF(H116=21,5.2,IF(H116=10,1.4,IF(H116=4,0.5,0))))/100),2))))</f>
        <v/>
      </c>
      <c r="L116" s="27">
        <f>IF(G116="","",IF(NOT(ISNUMBER(G116)),"Revisa",ROUND(ROUND(G116*(1+N($K$8)/100)/$O$7,0)*$O$7,2)))</f>
        <v/>
      </c>
      <c r="M116" s="27">
        <f>IF(G116="","",IF(NOT(ISNUMBER(G116)),"Revisa",ROUND(ROUND(G116*(1+N($K$9)/100)/$O$7,0)*$O$7,2)))</f>
        <v/>
      </c>
      <c r="N116" s="27">
        <f>IF(G116="","",IF(NOT(ISNUMBER(G116)),"Revisa",ROUND(ROUND(G116*(1+N($K$10)/100)/$O$7,0)*$O$7,2)))</f>
        <v/>
      </c>
      <c r="O116">
        <f>IF(B116="","",MAX($O$12:O115)+1)</f>
        <v/>
      </c>
      <c r="P116">
        <f>IF(AND(B116="",G116&lt;&gt;""),1,0)</f>
        <v/>
      </c>
    </row>
    <row r="117">
      <c r="A117" s="21" t="n"/>
      <c r="B117" s="21" t="n"/>
      <c r="C117" s="21" t="n"/>
      <c r="D117" s="22" t="n"/>
      <c r="E117" s="21" t="n"/>
      <c r="F117" s="23" t="n"/>
      <c r="G117" s="24" t="n"/>
      <c r="H117" s="25" t="n"/>
      <c r="I117" s="26">
        <f>IF(OR(NOT(ISNUMBER(G117)),N(D117)&lt;=1),"",ROUND(G117/D117,3))</f>
        <v/>
      </c>
      <c r="J117" s="27">
        <f>IF(G117="","",IF(NOT(ISNUMBER(G117)),"Revisa",IF(H117="","Falta IVA",ROUND(G117*(1+H117/100),2))))</f>
        <v/>
      </c>
      <c r="K117" s="27">
        <f>IF(G117="","",IF(NOT(ISNUMBER(G117)),"Revisa",IF(H117="","Falta IVA",ROUND(G117*(1+(H117+IF(H117=21,5.2,IF(H117=10,1.4,IF(H117=4,0.5,0))))/100),2))))</f>
        <v/>
      </c>
      <c r="L117" s="27">
        <f>IF(G117="","",IF(NOT(ISNUMBER(G117)),"Revisa",ROUND(ROUND(G117*(1+N($K$8)/100)/$O$7,0)*$O$7,2)))</f>
        <v/>
      </c>
      <c r="M117" s="27">
        <f>IF(G117="","",IF(NOT(ISNUMBER(G117)),"Revisa",ROUND(ROUND(G117*(1+N($K$9)/100)/$O$7,0)*$O$7,2)))</f>
        <v/>
      </c>
      <c r="N117" s="27">
        <f>IF(G117="","",IF(NOT(ISNUMBER(G117)),"Revisa",ROUND(ROUND(G117*(1+N($K$10)/100)/$O$7,0)*$O$7,2)))</f>
        <v/>
      </c>
      <c r="O117">
        <f>IF(B117="","",MAX($O$12:O116)+1)</f>
        <v/>
      </c>
      <c r="P117">
        <f>IF(AND(B117="",G117&lt;&gt;""),1,0)</f>
        <v/>
      </c>
    </row>
    <row r="118">
      <c r="A118" s="21" t="n"/>
      <c r="B118" s="21" t="n"/>
      <c r="C118" s="21" t="n"/>
      <c r="D118" s="22" t="n"/>
      <c r="E118" s="21" t="n"/>
      <c r="F118" s="23" t="n"/>
      <c r="G118" s="24" t="n"/>
      <c r="H118" s="25" t="n"/>
      <c r="I118" s="26">
        <f>IF(OR(NOT(ISNUMBER(G118)),N(D118)&lt;=1),"",ROUND(G118/D118,3))</f>
        <v/>
      </c>
      <c r="J118" s="27">
        <f>IF(G118="","",IF(NOT(ISNUMBER(G118)),"Revisa",IF(H118="","Falta IVA",ROUND(G118*(1+H118/100),2))))</f>
        <v/>
      </c>
      <c r="K118" s="27">
        <f>IF(G118="","",IF(NOT(ISNUMBER(G118)),"Revisa",IF(H118="","Falta IVA",ROUND(G118*(1+(H118+IF(H118=21,5.2,IF(H118=10,1.4,IF(H118=4,0.5,0))))/100),2))))</f>
        <v/>
      </c>
      <c r="L118" s="27">
        <f>IF(G118="","",IF(NOT(ISNUMBER(G118)),"Revisa",ROUND(ROUND(G118*(1+N($K$8)/100)/$O$7,0)*$O$7,2)))</f>
        <v/>
      </c>
      <c r="M118" s="27">
        <f>IF(G118="","",IF(NOT(ISNUMBER(G118)),"Revisa",ROUND(ROUND(G118*(1+N($K$9)/100)/$O$7,0)*$O$7,2)))</f>
        <v/>
      </c>
      <c r="N118" s="27">
        <f>IF(G118="","",IF(NOT(ISNUMBER(G118)),"Revisa",ROUND(ROUND(G118*(1+N($K$10)/100)/$O$7,0)*$O$7,2)))</f>
        <v/>
      </c>
      <c r="O118">
        <f>IF(B118="","",MAX($O$12:O117)+1)</f>
        <v/>
      </c>
      <c r="P118">
        <f>IF(AND(B118="",G118&lt;&gt;""),1,0)</f>
        <v/>
      </c>
    </row>
    <row r="119">
      <c r="A119" s="21" t="n"/>
      <c r="B119" s="21" t="n"/>
      <c r="C119" s="21" t="n"/>
      <c r="D119" s="22" t="n"/>
      <c r="E119" s="21" t="n"/>
      <c r="F119" s="23" t="n"/>
      <c r="G119" s="24" t="n"/>
      <c r="H119" s="25" t="n"/>
      <c r="I119" s="26">
        <f>IF(OR(NOT(ISNUMBER(G119)),N(D119)&lt;=1),"",ROUND(G119/D119,3))</f>
        <v/>
      </c>
      <c r="J119" s="27">
        <f>IF(G119="","",IF(NOT(ISNUMBER(G119)),"Revisa",IF(H119="","Falta IVA",ROUND(G119*(1+H119/100),2))))</f>
        <v/>
      </c>
      <c r="K119" s="27">
        <f>IF(G119="","",IF(NOT(ISNUMBER(G119)),"Revisa",IF(H119="","Falta IVA",ROUND(G119*(1+(H119+IF(H119=21,5.2,IF(H119=10,1.4,IF(H119=4,0.5,0))))/100),2))))</f>
        <v/>
      </c>
      <c r="L119" s="27">
        <f>IF(G119="","",IF(NOT(ISNUMBER(G119)),"Revisa",ROUND(ROUND(G119*(1+N($K$8)/100)/$O$7,0)*$O$7,2)))</f>
        <v/>
      </c>
      <c r="M119" s="27">
        <f>IF(G119="","",IF(NOT(ISNUMBER(G119)),"Revisa",ROUND(ROUND(G119*(1+N($K$9)/100)/$O$7,0)*$O$7,2)))</f>
        <v/>
      </c>
      <c r="N119" s="27">
        <f>IF(G119="","",IF(NOT(ISNUMBER(G119)),"Revisa",ROUND(ROUND(G119*(1+N($K$10)/100)/$O$7,0)*$O$7,2)))</f>
        <v/>
      </c>
      <c r="O119">
        <f>IF(B119="","",MAX($O$12:O118)+1)</f>
        <v/>
      </c>
      <c r="P119">
        <f>IF(AND(B119="",G119&lt;&gt;""),1,0)</f>
        <v/>
      </c>
    </row>
    <row r="120">
      <c r="A120" s="21" t="n"/>
      <c r="B120" s="21" t="n"/>
      <c r="C120" s="21" t="n"/>
      <c r="D120" s="22" t="n"/>
      <c r="E120" s="21" t="n"/>
      <c r="F120" s="23" t="n"/>
      <c r="G120" s="24" t="n"/>
      <c r="H120" s="25" t="n"/>
      <c r="I120" s="26">
        <f>IF(OR(NOT(ISNUMBER(G120)),N(D120)&lt;=1),"",ROUND(G120/D120,3))</f>
        <v/>
      </c>
      <c r="J120" s="27">
        <f>IF(G120="","",IF(NOT(ISNUMBER(G120)),"Revisa",IF(H120="","Falta IVA",ROUND(G120*(1+H120/100),2))))</f>
        <v/>
      </c>
      <c r="K120" s="27">
        <f>IF(G120="","",IF(NOT(ISNUMBER(G120)),"Revisa",IF(H120="","Falta IVA",ROUND(G120*(1+(H120+IF(H120=21,5.2,IF(H120=10,1.4,IF(H120=4,0.5,0))))/100),2))))</f>
        <v/>
      </c>
      <c r="L120" s="27">
        <f>IF(G120="","",IF(NOT(ISNUMBER(G120)),"Revisa",ROUND(ROUND(G120*(1+N($K$8)/100)/$O$7,0)*$O$7,2)))</f>
        <v/>
      </c>
      <c r="M120" s="27">
        <f>IF(G120="","",IF(NOT(ISNUMBER(G120)),"Revisa",ROUND(ROUND(G120*(1+N($K$9)/100)/$O$7,0)*$O$7,2)))</f>
        <v/>
      </c>
      <c r="N120" s="27">
        <f>IF(G120="","",IF(NOT(ISNUMBER(G120)),"Revisa",ROUND(ROUND(G120*(1+N($K$10)/100)/$O$7,0)*$O$7,2)))</f>
        <v/>
      </c>
      <c r="O120">
        <f>IF(B120="","",MAX($O$12:O119)+1)</f>
        <v/>
      </c>
      <c r="P120">
        <f>IF(AND(B120="",G120&lt;&gt;""),1,0)</f>
        <v/>
      </c>
    </row>
    <row r="121">
      <c r="A121" s="21" t="n"/>
      <c r="B121" s="21" t="n"/>
      <c r="C121" s="21" t="n"/>
      <c r="D121" s="22" t="n"/>
      <c r="E121" s="21" t="n"/>
      <c r="F121" s="23" t="n"/>
      <c r="G121" s="24" t="n"/>
      <c r="H121" s="25" t="n"/>
      <c r="I121" s="26">
        <f>IF(OR(NOT(ISNUMBER(G121)),N(D121)&lt;=1),"",ROUND(G121/D121,3))</f>
        <v/>
      </c>
      <c r="J121" s="27">
        <f>IF(G121="","",IF(NOT(ISNUMBER(G121)),"Revisa",IF(H121="","Falta IVA",ROUND(G121*(1+H121/100),2))))</f>
        <v/>
      </c>
      <c r="K121" s="27">
        <f>IF(G121="","",IF(NOT(ISNUMBER(G121)),"Revisa",IF(H121="","Falta IVA",ROUND(G121*(1+(H121+IF(H121=21,5.2,IF(H121=10,1.4,IF(H121=4,0.5,0))))/100),2))))</f>
        <v/>
      </c>
      <c r="L121" s="27">
        <f>IF(G121="","",IF(NOT(ISNUMBER(G121)),"Revisa",ROUND(ROUND(G121*(1+N($K$8)/100)/$O$7,0)*$O$7,2)))</f>
        <v/>
      </c>
      <c r="M121" s="27">
        <f>IF(G121="","",IF(NOT(ISNUMBER(G121)),"Revisa",ROUND(ROUND(G121*(1+N($K$9)/100)/$O$7,0)*$O$7,2)))</f>
        <v/>
      </c>
      <c r="N121" s="27">
        <f>IF(G121="","",IF(NOT(ISNUMBER(G121)),"Revisa",ROUND(ROUND(G121*(1+N($K$10)/100)/$O$7,0)*$O$7,2)))</f>
        <v/>
      </c>
      <c r="O121">
        <f>IF(B121="","",MAX($O$12:O120)+1)</f>
        <v/>
      </c>
      <c r="P121">
        <f>IF(AND(B121="",G121&lt;&gt;""),1,0)</f>
        <v/>
      </c>
    </row>
    <row r="122">
      <c r="A122" s="21" t="n"/>
      <c r="B122" s="21" t="n"/>
      <c r="C122" s="21" t="n"/>
      <c r="D122" s="22" t="n"/>
      <c r="E122" s="21" t="n"/>
      <c r="F122" s="23" t="n"/>
      <c r="G122" s="24" t="n"/>
      <c r="H122" s="25" t="n"/>
      <c r="I122" s="26">
        <f>IF(OR(NOT(ISNUMBER(G122)),N(D122)&lt;=1),"",ROUND(G122/D122,3))</f>
        <v/>
      </c>
      <c r="J122" s="27">
        <f>IF(G122="","",IF(NOT(ISNUMBER(G122)),"Revisa",IF(H122="","Falta IVA",ROUND(G122*(1+H122/100),2))))</f>
        <v/>
      </c>
      <c r="K122" s="27">
        <f>IF(G122="","",IF(NOT(ISNUMBER(G122)),"Revisa",IF(H122="","Falta IVA",ROUND(G122*(1+(H122+IF(H122=21,5.2,IF(H122=10,1.4,IF(H122=4,0.5,0))))/100),2))))</f>
        <v/>
      </c>
      <c r="L122" s="27">
        <f>IF(G122="","",IF(NOT(ISNUMBER(G122)),"Revisa",ROUND(ROUND(G122*(1+N($K$8)/100)/$O$7,0)*$O$7,2)))</f>
        <v/>
      </c>
      <c r="M122" s="27">
        <f>IF(G122="","",IF(NOT(ISNUMBER(G122)),"Revisa",ROUND(ROUND(G122*(1+N($K$9)/100)/$O$7,0)*$O$7,2)))</f>
        <v/>
      </c>
      <c r="N122" s="27">
        <f>IF(G122="","",IF(NOT(ISNUMBER(G122)),"Revisa",ROUND(ROUND(G122*(1+N($K$10)/100)/$O$7,0)*$O$7,2)))</f>
        <v/>
      </c>
      <c r="O122">
        <f>IF(B122="","",MAX($O$12:O121)+1)</f>
        <v/>
      </c>
      <c r="P122">
        <f>IF(AND(B122="",G122&lt;&gt;""),1,0)</f>
        <v/>
      </c>
    </row>
    <row r="123">
      <c r="A123" s="21" t="n"/>
      <c r="B123" s="21" t="n"/>
      <c r="C123" s="21" t="n"/>
      <c r="D123" s="22" t="n"/>
      <c r="E123" s="21" t="n"/>
      <c r="F123" s="23" t="n"/>
      <c r="G123" s="24" t="n"/>
      <c r="H123" s="25" t="n"/>
      <c r="I123" s="26">
        <f>IF(OR(NOT(ISNUMBER(G123)),N(D123)&lt;=1),"",ROUND(G123/D123,3))</f>
        <v/>
      </c>
      <c r="J123" s="27">
        <f>IF(G123="","",IF(NOT(ISNUMBER(G123)),"Revisa",IF(H123="","Falta IVA",ROUND(G123*(1+H123/100),2))))</f>
        <v/>
      </c>
      <c r="K123" s="27">
        <f>IF(G123="","",IF(NOT(ISNUMBER(G123)),"Revisa",IF(H123="","Falta IVA",ROUND(G123*(1+(H123+IF(H123=21,5.2,IF(H123=10,1.4,IF(H123=4,0.5,0))))/100),2))))</f>
        <v/>
      </c>
      <c r="L123" s="27">
        <f>IF(G123="","",IF(NOT(ISNUMBER(G123)),"Revisa",ROUND(ROUND(G123*(1+N($K$8)/100)/$O$7,0)*$O$7,2)))</f>
        <v/>
      </c>
      <c r="M123" s="27">
        <f>IF(G123="","",IF(NOT(ISNUMBER(G123)),"Revisa",ROUND(ROUND(G123*(1+N($K$9)/100)/$O$7,0)*$O$7,2)))</f>
        <v/>
      </c>
      <c r="N123" s="27">
        <f>IF(G123="","",IF(NOT(ISNUMBER(G123)),"Revisa",ROUND(ROUND(G123*(1+N($K$10)/100)/$O$7,0)*$O$7,2)))</f>
        <v/>
      </c>
      <c r="O123">
        <f>IF(B123="","",MAX($O$12:O122)+1)</f>
        <v/>
      </c>
      <c r="P123">
        <f>IF(AND(B123="",G123&lt;&gt;""),1,0)</f>
        <v/>
      </c>
    </row>
    <row r="124">
      <c r="A124" s="21" t="n"/>
      <c r="B124" s="21" t="n"/>
      <c r="C124" s="21" t="n"/>
      <c r="D124" s="22" t="n"/>
      <c r="E124" s="21" t="n"/>
      <c r="F124" s="23" t="n"/>
      <c r="G124" s="24" t="n"/>
      <c r="H124" s="25" t="n"/>
      <c r="I124" s="26">
        <f>IF(OR(NOT(ISNUMBER(G124)),N(D124)&lt;=1),"",ROUND(G124/D124,3))</f>
        <v/>
      </c>
      <c r="J124" s="27">
        <f>IF(G124="","",IF(NOT(ISNUMBER(G124)),"Revisa",IF(H124="","Falta IVA",ROUND(G124*(1+H124/100),2))))</f>
        <v/>
      </c>
      <c r="K124" s="27">
        <f>IF(G124="","",IF(NOT(ISNUMBER(G124)),"Revisa",IF(H124="","Falta IVA",ROUND(G124*(1+(H124+IF(H124=21,5.2,IF(H124=10,1.4,IF(H124=4,0.5,0))))/100),2))))</f>
        <v/>
      </c>
      <c r="L124" s="27">
        <f>IF(G124="","",IF(NOT(ISNUMBER(G124)),"Revisa",ROUND(ROUND(G124*(1+N($K$8)/100)/$O$7,0)*$O$7,2)))</f>
        <v/>
      </c>
      <c r="M124" s="27">
        <f>IF(G124="","",IF(NOT(ISNUMBER(G124)),"Revisa",ROUND(ROUND(G124*(1+N($K$9)/100)/$O$7,0)*$O$7,2)))</f>
        <v/>
      </c>
      <c r="N124" s="27">
        <f>IF(G124="","",IF(NOT(ISNUMBER(G124)),"Revisa",ROUND(ROUND(G124*(1+N($K$10)/100)/$O$7,0)*$O$7,2)))</f>
        <v/>
      </c>
      <c r="O124">
        <f>IF(B124="","",MAX($O$12:O123)+1)</f>
        <v/>
      </c>
      <c r="P124">
        <f>IF(AND(B124="",G124&lt;&gt;""),1,0)</f>
        <v/>
      </c>
    </row>
    <row r="125">
      <c r="A125" s="21" t="n"/>
      <c r="B125" s="21" t="n"/>
      <c r="C125" s="21" t="n"/>
      <c r="D125" s="22" t="n"/>
      <c r="E125" s="21" t="n"/>
      <c r="F125" s="23" t="n"/>
      <c r="G125" s="24" t="n"/>
      <c r="H125" s="25" t="n"/>
      <c r="I125" s="26">
        <f>IF(OR(NOT(ISNUMBER(G125)),N(D125)&lt;=1),"",ROUND(G125/D125,3))</f>
        <v/>
      </c>
      <c r="J125" s="27">
        <f>IF(G125="","",IF(NOT(ISNUMBER(G125)),"Revisa",IF(H125="","Falta IVA",ROUND(G125*(1+H125/100),2))))</f>
        <v/>
      </c>
      <c r="K125" s="27">
        <f>IF(G125="","",IF(NOT(ISNUMBER(G125)),"Revisa",IF(H125="","Falta IVA",ROUND(G125*(1+(H125+IF(H125=21,5.2,IF(H125=10,1.4,IF(H125=4,0.5,0))))/100),2))))</f>
        <v/>
      </c>
      <c r="L125" s="27">
        <f>IF(G125="","",IF(NOT(ISNUMBER(G125)),"Revisa",ROUND(ROUND(G125*(1+N($K$8)/100)/$O$7,0)*$O$7,2)))</f>
        <v/>
      </c>
      <c r="M125" s="27">
        <f>IF(G125="","",IF(NOT(ISNUMBER(G125)),"Revisa",ROUND(ROUND(G125*(1+N($K$9)/100)/$O$7,0)*$O$7,2)))</f>
        <v/>
      </c>
      <c r="N125" s="27">
        <f>IF(G125="","",IF(NOT(ISNUMBER(G125)),"Revisa",ROUND(ROUND(G125*(1+N($K$10)/100)/$O$7,0)*$O$7,2)))</f>
        <v/>
      </c>
      <c r="O125">
        <f>IF(B125="","",MAX($O$12:O124)+1)</f>
        <v/>
      </c>
      <c r="P125">
        <f>IF(AND(B125="",G125&lt;&gt;""),1,0)</f>
        <v/>
      </c>
    </row>
    <row r="126">
      <c r="A126" s="21" t="n"/>
      <c r="B126" s="21" t="n"/>
      <c r="C126" s="21" t="n"/>
      <c r="D126" s="22" t="n"/>
      <c r="E126" s="21" t="n"/>
      <c r="F126" s="23" t="n"/>
      <c r="G126" s="24" t="n"/>
      <c r="H126" s="25" t="n"/>
      <c r="I126" s="26">
        <f>IF(OR(NOT(ISNUMBER(G126)),N(D126)&lt;=1),"",ROUND(G126/D126,3))</f>
        <v/>
      </c>
      <c r="J126" s="27">
        <f>IF(G126="","",IF(NOT(ISNUMBER(G126)),"Revisa",IF(H126="","Falta IVA",ROUND(G126*(1+H126/100),2))))</f>
        <v/>
      </c>
      <c r="K126" s="27">
        <f>IF(G126="","",IF(NOT(ISNUMBER(G126)),"Revisa",IF(H126="","Falta IVA",ROUND(G126*(1+(H126+IF(H126=21,5.2,IF(H126=10,1.4,IF(H126=4,0.5,0))))/100),2))))</f>
        <v/>
      </c>
      <c r="L126" s="27">
        <f>IF(G126="","",IF(NOT(ISNUMBER(G126)),"Revisa",ROUND(ROUND(G126*(1+N($K$8)/100)/$O$7,0)*$O$7,2)))</f>
        <v/>
      </c>
      <c r="M126" s="27">
        <f>IF(G126="","",IF(NOT(ISNUMBER(G126)),"Revisa",ROUND(ROUND(G126*(1+N($K$9)/100)/$O$7,0)*$O$7,2)))</f>
        <v/>
      </c>
      <c r="N126" s="27">
        <f>IF(G126="","",IF(NOT(ISNUMBER(G126)),"Revisa",ROUND(ROUND(G126*(1+N($K$10)/100)/$O$7,0)*$O$7,2)))</f>
        <v/>
      </c>
      <c r="O126">
        <f>IF(B126="","",MAX($O$12:O125)+1)</f>
        <v/>
      </c>
      <c r="P126">
        <f>IF(AND(B126="",G126&lt;&gt;""),1,0)</f>
        <v/>
      </c>
    </row>
    <row r="127">
      <c r="A127" s="21" t="n"/>
      <c r="B127" s="21" t="n"/>
      <c r="C127" s="21" t="n"/>
      <c r="D127" s="22" t="n"/>
      <c r="E127" s="21" t="n"/>
      <c r="F127" s="23" t="n"/>
      <c r="G127" s="24" t="n"/>
      <c r="H127" s="25" t="n"/>
      <c r="I127" s="26">
        <f>IF(OR(NOT(ISNUMBER(G127)),N(D127)&lt;=1),"",ROUND(G127/D127,3))</f>
        <v/>
      </c>
      <c r="J127" s="27">
        <f>IF(G127="","",IF(NOT(ISNUMBER(G127)),"Revisa",IF(H127="","Falta IVA",ROUND(G127*(1+H127/100),2))))</f>
        <v/>
      </c>
      <c r="K127" s="27">
        <f>IF(G127="","",IF(NOT(ISNUMBER(G127)),"Revisa",IF(H127="","Falta IVA",ROUND(G127*(1+(H127+IF(H127=21,5.2,IF(H127=10,1.4,IF(H127=4,0.5,0))))/100),2))))</f>
        <v/>
      </c>
      <c r="L127" s="27">
        <f>IF(G127="","",IF(NOT(ISNUMBER(G127)),"Revisa",ROUND(ROUND(G127*(1+N($K$8)/100)/$O$7,0)*$O$7,2)))</f>
        <v/>
      </c>
      <c r="M127" s="27">
        <f>IF(G127="","",IF(NOT(ISNUMBER(G127)),"Revisa",ROUND(ROUND(G127*(1+N($K$9)/100)/$O$7,0)*$O$7,2)))</f>
        <v/>
      </c>
      <c r="N127" s="27">
        <f>IF(G127="","",IF(NOT(ISNUMBER(G127)),"Revisa",ROUND(ROUND(G127*(1+N($K$10)/100)/$O$7,0)*$O$7,2)))</f>
        <v/>
      </c>
      <c r="O127">
        <f>IF(B127="","",MAX($O$12:O126)+1)</f>
        <v/>
      </c>
      <c r="P127">
        <f>IF(AND(B127="",G127&lt;&gt;""),1,0)</f>
        <v/>
      </c>
    </row>
    <row r="128">
      <c r="A128" s="21" t="n"/>
      <c r="B128" s="21" t="n"/>
      <c r="C128" s="21" t="n"/>
      <c r="D128" s="22" t="n"/>
      <c r="E128" s="21" t="n"/>
      <c r="F128" s="23" t="n"/>
      <c r="G128" s="24" t="n"/>
      <c r="H128" s="25" t="n"/>
      <c r="I128" s="26">
        <f>IF(OR(NOT(ISNUMBER(G128)),N(D128)&lt;=1),"",ROUND(G128/D128,3))</f>
        <v/>
      </c>
      <c r="J128" s="27">
        <f>IF(G128="","",IF(NOT(ISNUMBER(G128)),"Revisa",IF(H128="","Falta IVA",ROUND(G128*(1+H128/100),2))))</f>
        <v/>
      </c>
      <c r="K128" s="27">
        <f>IF(G128="","",IF(NOT(ISNUMBER(G128)),"Revisa",IF(H128="","Falta IVA",ROUND(G128*(1+(H128+IF(H128=21,5.2,IF(H128=10,1.4,IF(H128=4,0.5,0))))/100),2))))</f>
        <v/>
      </c>
      <c r="L128" s="27">
        <f>IF(G128="","",IF(NOT(ISNUMBER(G128)),"Revisa",ROUND(ROUND(G128*(1+N($K$8)/100)/$O$7,0)*$O$7,2)))</f>
        <v/>
      </c>
      <c r="M128" s="27">
        <f>IF(G128="","",IF(NOT(ISNUMBER(G128)),"Revisa",ROUND(ROUND(G128*(1+N($K$9)/100)/$O$7,0)*$O$7,2)))</f>
        <v/>
      </c>
      <c r="N128" s="27">
        <f>IF(G128="","",IF(NOT(ISNUMBER(G128)),"Revisa",ROUND(ROUND(G128*(1+N($K$10)/100)/$O$7,0)*$O$7,2)))</f>
        <v/>
      </c>
      <c r="O128">
        <f>IF(B128="","",MAX($O$12:O127)+1)</f>
        <v/>
      </c>
      <c r="P128">
        <f>IF(AND(B128="",G128&lt;&gt;""),1,0)</f>
        <v/>
      </c>
    </row>
    <row r="129">
      <c r="A129" s="21" t="n"/>
      <c r="B129" s="21" t="n"/>
      <c r="C129" s="21" t="n"/>
      <c r="D129" s="22" t="n"/>
      <c r="E129" s="21" t="n"/>
      <c r="F129" s="23" t="n"/>
      <c r="G129" s="24" t="n"/>
      <c r="H129" s="25" t="n"/>
      <c r="I129" s="26">
        <f>IF(OR(NOT(ISNUMBER(G129)),N(D129)&lt;=1),"",ROUND(G129/D129,3))</f>
        <v/>
      </c>
      <c r="J129" s="27">
        <f>IF(G129="","",IF(NOT(ISNUMBER(G129)),"Revisa",IF(H129="","Falta IVA",ROUND(G129*(1+H129/100),2))))</f>
        <v/>
      </c>
      <c r="K129" s="27">
        <f>IF(G129="","",IF(NOT(ISNUMBER(G129)),"Revisa",IF(H129="","Falta IVA",ROUND(G129*(1+(H129+IF(H129=21,5.2,IF(H129=10,1.4,IF(H129=4,0.5,0))))/100),2))))</f>
        <v/>
      </c>
      <c r="L129" s="27">
        <f>IF(G129="","",IF(NOT(ISNUMBER(G129)),"Revisa",ROUND(ROUND(G129*(1+N($K$8)/100)/$O$7,0)*$O$7,2)))</f>
        <v/>
      </c>
      <c r="M129" s="27">
        <f>IF(G129="","",IF(NOT(ISNUMBER(G129)),"Revisa",ROUND(ROUND(G129*(1+N($K$9)/100)/$O$7,0)*$O$7,2)))</f>
        <v/>
      </c>
      <c r="N129" s="27">
        <f>IF(G129="","",IF(NOT(ISNUMBER(G129)),"Revisa",ROUND(ROUND(G129*(1+N($K$10)/100)/$O$7,0)*$O$7,2)))</f>
        <v/>
      </c>
      <c r="O129">
        <f>IF(B129="","",MAX($O$12:O128)+1)</f>
        <v/>
      </c>
      <c r="P129">
        <f>IF(AND(B129="",G129&lt;&gt;""),1,0)</f>
        <v/>
      </c>
    </row>
    <row r="130">
      <c r="A130" s="21" t="n"/>
      <c r="B130" s="21" t="n"/>
      <c r="C130" s="21" t="n"/>
      <c r="D130" s="22" t="n"/>
      <c r="E130" s="21" t="n"/>
      <c r="F130" s="23" t="n"/>
      <c r="G130" s="24" t="n"/>
      <c r="H130" s="25" t="n"/>
      <c r="I130" s="26">
        <f>IF(OR(NOT(ISNUMBER(G130)),N(D130)&lt;=1),"",ROUND(G130/D130,3))</f>
        <v/>
      </c>
      <c r="J130" s="27">
        <f>IF(G130="","",IF(NOT(ISNUMBER(G130)),"Revisa",IF(H130="","Falta IVA",ROUND(G130*(1+H130/100),2))))</f>
        <v/>
      </c>
      <c r="K130" s="27">
        <f>IF(G130="","",IF(NOT(ISNUMBER(G130)),"Revisa",IF(H130="","Falta IVA",ROUND(G130*(1+(H130+IF(H130=21,5.2,IF(H130=10,1.4,IF(H130=4,0.5,0))))/100),2))))</f>
        <v/>
      </c>
      <c r="L130" s="27">
        <f>IF(G130="","",IF(NOT(ISNUMBER(G130)),"Revisa",ROUND(ROUND(G130*(1+N($K$8)/100)/$O$7,0)*$O$7,2)))</f>
        <v/>
      </c>
      <c r="M130" s="27">
        <f>IF(G130="","",IF(NOT(ISNUMBER(G130)),"Revisa",ROUND(ROUND(G130*(1+N($K$9)/100)/$O$7,0)*$O$7,2)))</f>
        <v/>
      </c>
      <c r="N130" s="27">
        <f>IF(G130="","",IF(NOT(ISNUMBER(G130)),"Revisa",ROUND(ROUND(G130*(1+N($K$10)/100)/$O$7,0)*$O$7,2)))</f>
        <v/>
      </c>
      <c r="O130">
        <f>IF(B130="","",MAX($O$12:O129)+1)</f>
        <v/>
      </c>
      <c r="P130">
        <f>IF(AND(B130="",G130&lt;&gt;""),1,0)</f>
        <v/>
      </c>
    </row>
    <row r="131">
      <c r="A131" s="21" t="n"/>
      <c r="B131" s="21" t="n"/>
      <c r="C131" s="21" t="n"/>
      <c r="D131" s="22" t="n"/>
      <c r="E131" s="21" t="n"/>
      <c r="F131" s="23" t="n"/>
      <c r="G131" s="24" t="n"/>
      <c r="H131" s="25" t="n"/>
      <c r="I131" s="26">
        <f>IF(OR(NOT(ISNUMBER(G131)),N(D131)&lt;=1),"",ROUND(G131/D131,3))</f>
        <v/>
      </c>
      <c r="J131" s="27">
        <f>IF(G131="","",IF(NOT(ISNUMBER(G131)),"Revisa",IF(H131="","Falta IVA",ROUND(G131*(1+H131/100),2))))</f>
        <v/>
      </c>
      <c r="K131" s="27">
        <f>IF(G131="","",IF(NOT(ISNUMBER(G131)),"Revisa",IF(H131="","Falta IVA",ROUND(G131*(1+(H131+IF(H131=21,5.2,IF(H131=10,1.4,IF(H131=4,0.5,0))))/100),2))))</f>
        <v/>
      </c>
      <c r="L131" s="27">
        <f>IF(G131="","",IF(NOT(ISNUMBER(G131)),"Revisa",ROUND(ROUND(G131*(1+N($K$8)/100)/$O$7,0)*$O$7,2)))</f>
        <v/>
      </c>
      <c r="M131" s="27">
        <f>IF(G131="","",IF(NOT(ISNUMBER(G131)),"Revisa",ROUND(ROUND(G131*(1+N($K$9)/100)/$O$7,0)*$O$7,2)))</f>
        <v/>
      </c>
      <c r="N131" s="27">
        <f>IF(G131="","",IF(NOT(ISNUMBER(G131)),"Revisa",ROUND(ROUND(G131*(1+N($K$10)/100)/$O$7,0)*$O$7,2)))</f>
        <v/>
      </c>
      <c r="O131">
        <f>IF(B131="","",MAX($O$12:O130)+1)</f>
        <v/>
      </c>
      <c r="P131">
        <f>IF(AND(B131="",G131&lt;&gt;""),1,0)</f>
        <v/>
      </c>
    </row>
    <row r="132">
      <c r="A132" s="21" t="n"/>
      <c r="B132" s="21" t="n"/>
      <c r="C132" s="21" t="n"/>
      <c r="D132" s="22" t="n"/>
      <c r="E132" s="21" t="n"/>
      <c r="F132" s="23" t="n"/>
      <c r="G132" s="24" t="n"/>
      <c r="H132" s="25" t="n"/>
      <c r="I132" s="26">
        <f>IF(OR(NOT(ISNUMBER(G132)),N(D132)&lt;=1),"",ROUND(G132/D132,3))</f>
        <v/>
      </c>
      <c r="J132" s="27">
        <f>IF(G132="","",IF(NOT(ISNUMBER(G132)),"Revisa",IF(H132="","Falta IVA",ROUND(G132*(1+H132/100),2))))</f>
        <v/>
      </c>
      <c r="K132" s="27">
        <f>IF(G132="","",IF(NOT(ISNUMBER(G132)),"Revisa",IF(H132="","Falta IVA",ROUND(G132*(1+(H132+IF(H132=21,5.2,IF(H132=10,1.4,IF(H132=4,0.5,0))))/100),2))))</f>
        <v/>
      </c>
      <c r="L132" s="27">
        <f>IF(G132="","",IF(NOT(ISNUMBER(G132)),"Revisa",ROUND(ROUND(G132*(1+N($K$8)/100)/$O$7,0)*$O$7,2)))</f>
        <v/>
      </c>
      <c r="M132" s="27">
        <f>IF(G132="","",IF(NOT(ISNUMBER(G132)),"Revisa",ROUND(ROUND(G132*(1+N($K$9)/100)/$O$7,0)*$O$7,2)))</f>
        <v/>
      </c>
      <c r="N132" s="27">
        <f>IF(G132="","",IF(NOT(ISNUMBER(G132)),"Revisa",ROUND(ROUND(G132*(1+N($K$10)/100)/$O$7,0)*$O$7,2)))</f>
        <v/>
      </c>
      <c r="O132">
        <f>IF(B132="","",MAX($O$12:O131)+1)</f>
        <v/>
      </c>
      <c r="P132">
        <f>IF(AND(B132="",G132&lt;&gt;""),1,0)</f>
        <v/>
      </c>
    </row>
    <row r="133">
      <c r="A133" s="21" t="n"/>
      <c r="B133" s="21" t="n"/>
      <c r="C133" s="21" t="n"/>
      <c r="D133" s="22" t="n"/>
      <c r="E133" s="21" t="n"/>
      <c r="F133" s="23" t="n"/>
      <c r="G133" s="24" t="n"/>
      <c r="H133" s="25" t="n"/>
      <c r="I133" s="26">
        <f>IF(OR(NOT(ISNUMBER(G133)),N(D133)&lt;=1),"",ROUND(G133/D133,3))</f>
        <v/>
      </c>
      <c r="J133" s="27">
        <f>IF(G133="","",IF(NOT(ISNUMBER(G133)),"Revisa",IF(H133="","Falta IVA",ROUND(G133*(1+H133/100),2))))</f>
        <v/>
      </c>
      <c r="K133" s="27">
        <f>IF(G133="","",IF(NOT(ISNUMBER(G133)),"Revisa",IF(H133="","Falta IVA",ROUND(G133*(1+(H133+IF(H133=21,5.2,IF(H133=10,1.4,IF(H133=4,0.5,0))))/100),2))))</f>
        <v/>
      </c>
      <c r="L133" s="27">
        <f>IF(G133="","",IF(NOT(ISNUMBER(G133)),"Revisa",ROUND(ROUND(G133*(1+N($K$8)/100)/$O$7,0)*$O$7,2)))</f>
        <v/>
      </c>
      <c r="M133" s="27">
        <f>IF(G133="","",IF(NOT(ISNUMBER(G133)),"Revisa",ROUND(ROUND(G133*(1+N($K$9)/100)/$O$7,0)*$O$7,2)))</f>
        <v/>
      </c>
      <c r="N133" s="27">
        <f>IF(G133="","",IF(NOT(ISNUMBER(G133)),"Revisa",ROUND(ROUND(G133*(1+N($K$10)/100)/$O$7,0)*$O$7,2)))</f>
        <v/>
      </c>
      <c r="O133">
        <f>IF(B133="","",MAX($O$12:O132)+1)</f>
        <v/>
      </c>
      <c r="P133">
        <f>IF(AND(B133="",G133&lt;&gt;""),1,0)</f>
        <v/>
      </c>
    </row>
    <row r="134">
      <c r="A134" s="21" t="n"/>
      <c r="B134" s="21" t="n"/>
      <c r="C134" s="21" t="n"/>
      <c r="D134" s="22" t="n"/>
      <c r="E134" s="21" t="n"/>
      <c r="F134" s="23" t="n"/>
      <c r="G134" s="24" t="n"/>
      <c r="H134" s="25" t="n"/>
      <c r="I134" s="26">
        <f>IF(OR(NOT(ISNUMBER(G134)),N(D134)&lt;=1),"",ROUND(G134/D134,3))</f>
        <v/>
      </c>
      <c r="J134" s="27">
        <f>IF(G134="","",IF(NOT(ISNUMBER(G134)),"Revisa",IF(H134="","Falta IVA",ROUND(G134*(1+H134/100),2))))</f>
        <v/>
      </c>
      <c r="K134" s="27">
        <f>IF(G134="","",IF(NOT(ISNUMBER(G134)),"Revisa",IF(H134="","Falta IVA",ROUND(G134*(1+(H134+IF(H134=21,5.2,IF(H134=10,1.4,IF(H134=4,0.5,0))))/100),2))))</f>
        <v/>
      </c>
      <c r="L134" s="27">
        <f>IF(G134="","",IF(NOT(ISNUMBER(G134)),"Revisa",ROUND(ROUND(G134*(1+N($K$8)/100)/$O$7,0)*$O$7,2)))</f>
        <v/>
      </c>
      <c r="M134" s="27">
        <f>IF(G134="","",IF(NOT(ISNUMBER(G134)),"Revisa",ROUND(ROUND(G134*(1+N($K$9)/100)/$O$7,0)*$O$7,2)))</f>
        <v/>
      </c>
      <c r="N134" s="27">
        <f>IF(G134="","",IF(NOT(ISNUMBER(G134)),"Revisa",ROUND(ROUND(G134*(1+N($K$10)/100)/$O$7,0)*$O$7,2)))</f>
        <v/>
      </c>
      <c r="O134">
        <f>IF(B134="","",MAX($O$12:O133)+1)</f>
        <v/>
      </c>
      <c r="P134">
        <f>IF(AND(B134="",G134&lt;&gt;""),1,0)</f>
        <v/>
      </c>
    </row>
    <row r="135">
      <c r="A135" s="21" t="n"/>
      <c r="B135" s="21" t="n"/>
      <c r="C135" s="21" t="n"/>
      <c r="D135" s="22" t="n"/>
      <c r="E135" s="21" t="n"/>
      <c r="F135" s="23" t="n"/>
      <c r="G135" s="24" t="n"/>
      <c r="H135" s="25" t="n"/>
      <c r="I135" s="26">
        <f>IF(OR(NOT(ISNUMBER(G135)),N(D135)&lt;=1),"",ROUND(G135/D135,3))</f>
        <v/>
      </c>
      <c r="J135" s="27">
        <f>IF(G135="","",IF(NOT(ISNUMBER(G135)),"Revisa",IF(H135="","Falta IVA",ROUND(G135*(1+H135/100),2))))</f>
        <v/>
      </c>
      <c r="K135" s="27">
        <f>IF(G135="","",IF(NOT(ISNUMBER(G135)),"Revisa",IF(H135="","Falta IVA",ROUND(G135*(1+(H135+IF(H135=21,5.2,IF(H135=10,1.4,IF(H135=4,0.5,0))))/100),2))))</f>
        <v/>
      </c>
      <c r="L135" s="27">
        <f>IF(G135="","",IF(NOT(ISNUMBER(G135)),"Revisa",ROUND(ROUND(G135*(1+N($K$8)/100)/$O$7,0)*$O$7,2)))</f>
        <v/>
      </c>
      <c r="M135" s="27">
        <f>IF(G135="","",IF(NOT(ISNUMBER(G135)),"Revisa",ROUND(ROUND(G135*(1+N($K$9)/100)/$O$7,0)*$O$7,2)))</f>
        <v/>
      </c>
      <c r="N135" s="27">
        <f>IF(G135="","",IF(NOT(ISNUMBER(G135)),"Revisa",ROUND(ROUND(G135*(1+N($K$10)/100)/$O$7,0)*$O$7,2)))</f>
        <v/>
      </c>
      <c r="O135">
        <f>IF(B135="","",MAX($O$12:O134)+1)</f>
        <v/>
      </c>
      <c r="P135">
        <f>IF(AND(B135="",G135&lt;&gt;""),1,0)</f>
        <v/>
      </c>
    </row>
    <row r="136">
      <c r="A136" s="21" t="n"/>
      <c r="B136" s="21" t="n"/>
      <c r="C136" s="21" t="n"/>
      <c r="D136" s="22" t="n"/>
      <c r="E136" s="21" t="n"/>
      <c r="F136" s="23" t="n"/>
      <c r="G136" s="24" t="n"/>
      <c r="H136" s="25" t="n"/>
      <c r="I136" s="26">
        <f>IF(OR(NOT(ISNUMBER(G136)),N(D136)&lt;=1),"",ROUND(G136/D136,3))</f>
        <v/>
      </c>
      <c r="J136" s="27">
        <f>IF(G136="","",IF(NOT(ISNUMBER(G136)),"Revisa",IF(H136="","Falta IVA",ROUND(G136*(1+H136/100),2))))</f>
        <v/>
      </c>
      <c r="K136" s="27">
        <f>IF(G136="","",IF(NOT(ISNUMBER(G136)),"Revisa",IF(H136="","Falta IVA",ROUND(G136*(1+(H136+IF(H136=21,5.2,IF(H136=10,1.4,IF(H136=4,0.5,0))))/100),2))))</f>
        <v/>
      </c>
      <c r="L136" s="27">
        <f>IF(G136="","",IF(NOT(ISNUMBER(G136)),"Revisa",ROUND(ROUND(G136*(1+N($K$8)/100)/$O$7,0)*$O$7,2)))</f>
        <v/>
      </c>
      <c r="M136" s="27">
        <f>IF(G136="","",IF(NOT(ISNUMBER(G136)),"Revisa",ROUND(ROUND(G136*(1+N($K$9)/100)/$O$7,0)*$O$7,2)))</f>
        <v/>
      </c>
      <c r="N136" s="27">
        <f>IF(G136="","",IF(NOT(ISNUMBER(G136)),"Revisa",ROUND(ROUND(G136*(1+N($K$10)/100)/$O$7,0)*$O$7,2)))</f>
        <v/>
      </c>
      <c r="O136">
        <f>IF(B136="","",MAX($O$12:O135)+1)</f>
        <v/>
      </c>
      <c r="P136">
        <f>IF(AND(B136="",G136&lt;&gt;""),1,0)</f>
        <v/>
      </c>
    </row>
    <row r="137">
      <c r="A137" s="21" t="n"/>
      <c r="B137" s="21" t="n"/>
      <c r="C137" s="21" t="n"/>
      <c r="D137" s="22" t="n"/>
      <c r="E137" s="21" t="n"/>
      <c r="F137" s="23" t="n"/>
      <c r="G137" s="24" t="n"/>
      <c r="H137" s="25" t="n"/>
      <c r="I137" s="26">
        <f>IF(OR(NOT(ISNUMBER(G137)),N(D137)&lt;=1),"",ROUND(G137/D137,3))</f>
        <v/>
      </c>
      <c r="J137" s="27">
        <f>IF(G137="","",IF(NOT(ISNUMBER(G137)),"Revisa",IF(H137="","Falta IVA",ROUND(G137*(1+H137/100),2))))</f>
        <v/>
      </c>
      <c r="K137" s="27">
        <f>IF(G137="","",IF(NOT(ISNUMBER(G137)),"Revisa",IF(H137="","Falta IVA",ROUND(G137*(1+(H137+IF(H137=21,5.2,IF(H137=10,1.4,IF(H137=4,0.5,0))))/100),2))))</f>
        <v/>
      </c>
      <c r="L137" s="27">
        <f>IF(G137="","",IF(NOT(ISNUMBER(G137)),"Revisa",ROUND(ROUND(G137*(1+N($K$8)/100)/$O$7,0)*$O$7,2)))</f>
        <v/>
      </c>
      <c r="M137" s="27">
        <f>IF(G137="","",IF(NOT(ISNUMBER(G137)),"Revisa",ROUND(ROUND(G137*(1+N($K$9)/100)/$O$7,0)*$O$7,2)))</f>
        <v/>
      </c>
      <c r="N137" s="27">
        <f>IF(G137="","",IF(NOT(ISNUMBER(G137)),"Revisa",ROUND(ROUND(G137*(1+N($K$10)/100)/$O$7,0)*$O$7,2)))</f>
        <v/>
      </c>
      <c r="O137">
        <f>IF(B137="","",MAX($O$12:O136)+1)</f>
        <v/>
      </c>
      <c r="P137">
        <f>IF(AND(B137="",G137&lt;&gt;""),1,0)</f>
        <v/>
      </c>
    </row>
    <row r="138">
      <c r="A138" s="21" t="n"/>
      <c r="B138" s="21" t="n"/>
      <c r="C138" s="21" t="n"/>
      <c r="D138" s="22" t="n"/>
      <c r="E138" s="21" t="n"/>
      <c r="F138" s="23" t="n"/>
      <c r="G138" s="24" t="n"/>
      <c r="H138" s="25" t="n"/>
      <c r="I138" s="26">
        <f>IF(OR(NOT(ISNUMBER(G138)),N(D138)&lt;=1),"",ROUND(G138/D138,3))</f>
        <v/>
      </c>
      <c r="J138" s="27">
        <f>IF(G138="","",IF(NOT(ISNUMBER(G138)),"Revisa",IF(H138="","Falta IVA",ROUND(G138*(1+H138/100),2))))</f>
        <v/>
      </c>
      <c r="K138" s="27">
        <f>IF(G138="","",IF(NOT(ISNUMBER(G138)),"Revisa",IF(H138="","Falta IVA",ROUND(G138*(1+(H138+IF(H138=21,5.2,IF(H138=10,1.4,IF(H138=4,0.5,0))))/100),2))))</f>
        <v/>
      </c>
      <c r="L138" s="27">
        <f>IF(G138="","",IF(NOT(ISNUMBER(G138)),"Revisa",ROUND(ROUND(G138*(1+N($K$8)/100)/$O$7,0)*$O$7,2)))</f>
        <v/>
      </c>
      <c r="M138" s="27">
        <f>IF(G138="","",IF(NOT(ISNUMBER(G138)),"Revisa",ROUND(ROUND(G138*(1+N($K$9)/100)/$O$7,0)*$O$7,2)))</f>
        <v/>
      </c>
      <c r="N138" s="27">
        <f>IF(G138="","",IF(NOT(ISNUMBER(G138)),"Revisa",ROUND(ROUND(G138*(1+N($K$10)/100)/$O$7,0)*$O$7,2)))</f>
        <v/>
      </c>
      <c r="O138">
        <f>IF(B138="","",MAX($O$12:O137)+1)</f>
        <v/>
      </c>
      <c r="P138">
        <f>IF(AND(B138="",G138&lt;&gt;""),1,0)</f>
        <v/>
      </c>
    </row>
    <row r="139">
      <c r="A139" s="21" t="n"/>
      <c r="B139" s="21" t="n"/>
      <c r="C139" s="21" t="n"/>
      <c r="D139" s="22" t="n"/>
      <c r="E139" s="21" t="n"/>
      <c r="F139" s="23" t="n"/>
      <c r="G139" s="24" t="n"/>
      <c r="H139" s="25" t="n"/>
      <c r="I139" s="26">
        <f>IF(OR(NOT(ISNUMBER(G139)),N(D139)&lt;=1),"",ROUND(G139/D139,3))</f>
        <v/>
      </c>
      <c r="J139" s="27">
        <f>IF(G139="","",IF(NOT(ISNUMBER(G139)),"Revisa",IF(H139="","Falta IVA",ROUND(G139*(1+H139/100),2))))</f>
        <v/>
      </c>
      <c r="K139" s="27">
        <f>IF(G139="","",IF(NOT(ISNUMBER(G139)),"Revisa",IF(H139="","Falta IVA",ROUND(G139*(1+(H139+IF(H139=21,5.2,IF(H139=10,1.4,IF(H139=4,0.5,0))))/100),2))))</f>
        <v/>
      </c>
      <c r="L139" s="27">
        <f>IF(G139="","",IF(NOT(ISNUMBER(G139)),"Revisa",ROUND(ROUND(G139*(1+N($K$8)/100)/$O$7,0)*$O$7,2)))</f>
        <v/>
      </c>
      <c r="M139" s="27">
        <f>IF(G139="","",IF(NOT(ISNUMBER(G139)),"Revisa",ROUND(ROUND(G139*(1+N($K$9)/100)/$O$7,0)*$O$7,2)))</f>
        <v/>
      </c>
      <c r="N139" s="27">
        <f>IF(G139="","",IF(NOT(ISNUMBER(G139)),"Revisa",ROUND(ROUND(G139*(1+N($K$10)/100)/$O$7,0)*$O$7,2)))</f>
        <v/>
      </c>
      <c r="O139">
        <f>IF(B139="","",MAX($O$12:O138)+1)</f>
        <v/>
      </c>
      <c r="P139">
        <f>IF(AND(B139="",G139&lt;&gt;""),1,0)</f>
        <v/>
      </c>
    </row>
    <row r="140">
      <c r="A140" s="21" t="n"/>
      <c r="B140" s="21" t="n"/>
      <c r="C140" s="21" t="n"/>
      <c r="D140" s="22" t="n"/>
      <c r="E140" s="21" t="n"/>
      <c r="F140" s="23" t="n"/>
      <c r="G140" s="24" t="n"/>
      <c r="H140" s="25" t="n"/>
      <c r="I140" s="26">
        <f>IF(OR(NOT(ISNUMBER(G140)),N(D140)&lt;=1),"",ROUND(G140/D140,3))</f>
        <v/>
      </c>
      <c r="J140" s="27">
        <f>IF(G140="","",IF(NOT(ISNUMBER(G140)),"Revisa",IF(H140="","Falta IVA",ROUND(G140*(1+H140/100),2))))</f>
        <v/>
      </c>
      <c r="K140" s="27">
        <f>IF(G140="","",IF(NOT(ISNUMBER(G140)),"Revisa",IF(H140="","Falta IVA",ROUND(G140*(1+(H140+IF(H140=21,5.2,IF(H140=10,1.4,IF(H140=4,0.5,0))))/100),2))))</f>
        <v/>
      </c>
      <c r="L140" s="27">
        <f>IF(G140="","",IF(NOT(ISNUMBER(G140)),"Revisa",ROUND(ROUND(G140*(1+N($K$8)/100)/$O$7,0)*$O$7,2)))</f>
        <v/>
      </c>
      <c r="M140" s="27">
        <f>IF(G140="","",IF(NOT(ISNUMBER(G140)),"Revisa",ROUND(ROUND(G140*(1+N($K$9)/100)/$O$7,0)*$O$7,2)))</f>
        <v/>
      </c>
      <c r="N140" s="27">
        <f>IF(G140="","",IF(NOT(ISNUMBER(G140)),"Revisa",ROUND(ROUND(G140*(1+N($K$10)/100)/$O$7,0)*$O$7,2)))</f>
        <v/>
      </c>
      <c r="O140">
        <f>IF(B140="","",MAX($O$12:O139)+1)</f>
        <v/>
      </c>
      <c r="P140">
        <f>IF(AND(B140="",G140&lt;&gt;""),1,0)</f>
        <v/>
      </c>
    </row>
    <row r="141">
      <c r="A141" s="21" t="n"/>
      <c r="B141" s="21" t="n"/>
      <c r="C141" s="21" t="n"/>
      <c r="D141" s="22" t="n"/>
      <c r="E141" s="21" t="n"/>
      <c r="F141" s="23" t="n"/>
      <c r="G141" s="24" t="n"/>
      <c r="H141" s="25" t="n"/>
      <c r="I141" s="26">
        <f>IF(OR(NOT(ISNUMBER(G141)),N(D141)&lt;=1),"",ROUND(G141/D141,3))</f>
        <v/>
      </c>
      <c r="J141" s="27">
        <f>IF(G141="","",IF(NOT(ISNUMBER(G141)),"Revisa",IF(H141="","Falta IVA",ROUND(G141*(1+H141/100),2))))</f>
        <v/>
      </c>
      <c r="K141" s="27">
        <f>IF(G141="","",IF(NOT(ISNUMBER(G141)),"Revisa",IF(H141="","Falta IVA",ROUND(G141*(1+(H141+IF(H141=21,5.2,IF(H141=10,1.4,IF(H141=4,0.5,0))))/100),2))))</f>
        <v/>
      </c>
      <c r="L141" s="27">
        <f>IF(G141="","",IF(NOT(ISNUMBER(G141)),"Revisa",ROUND(ROUND(G141*(1+N($K$8)/100)/$O$7,0)*$O$7,2)))</f>
        <v/>
      </c>
      <c r="M141" s="27">
        <f>IF(G141="","",IF(NOT(ISNUMBER(G141)),"Revisa",ROUND(ROUND(G141*(1+N($K$9)/100)/$O$7,0)*$O$7,2)))</f>
        <v/>
      </c>
      <c r="N141" s="27">
        <f>IF(G141="","",IF(NOT(ISNUMBER(G141)),"Revisa",ROUND(ROUND(G141*(1+N($K$10)/100)/$O$7,0)*$O$7,2)))</f>
        <v/>
      </c>
      <c r="O141">
        <f>IF(B141="","",MAX($O$12:O140)+1)</f>
        <v/>
      </c>
      <c r="P141">
        <f>IF(AND(B141="",G141&lt;&gt;""),1,0)</f>
        <v/>
      </c>
    </row>
    <row r="142">
      <c r="A142" s="21" t="n"/>
      <c r="B142" s="21" t="n"/>
      <c r="C142" s="21" t="n"/>
      <c r="D142" s="22" t="n"/>
      <c r="E142" s="21" t="n"/>
      <c r="F142" s="23" t="n"/>
      <c r="G142" s="24" t="n"/>
      <c r="H142" s="25" t="n"/>
      <c r="I142" s="26">
        <f>IF(OR(NOT(ISNUMBER(G142)),N(D142)&lt;=1),"",ROUND(G142/D142,3))</f>
        <v/>
      </c>
      <c r="J142" s="27">
        <f>IF(G142="","",IF(NOT(ISNUMBER(G142)),"Revisa",IF(H142="","Falta IVA",ROUND(G142*(1+H142/100),2))))</f>
        <v/>
      </c>
      <c r="K142" s="27">
        <f>IF(G142="","",IF(NOT(ISNUMBER(G142)),"Revisa",IF(H142="","Falta IVA",ROUND(G142*(1+(H142+IF(H142=21,5.2,IF(H142=10,1.4,IF(H142=4,0.5,0))))/100),2))))</f>
        <v/>
      </c>
      <c r="L142" s="27">
        <f>IF(G142="","",IF(NOT(ISNUMBER(G142)),"Revisa",ROUND(ROUND(G142*(1+N($K$8)/100)/$O$7,0)*$O$7,2)))</f>
        <v/>
      </c>
      <c r="M142" s="27">
        <f>IF(G142="","",IF(NOT(ISNUMBER(G142)),"Revisa",ROUND(ROUND(G142*(1+N($K$9)/100)/$O$7,0)*$O$7,2)))</f>
        <v/>
      </c>
      <c r="N142" s="27">
        <f>IF(G142="","",IF(NOT(ISNUMBER(G142)),"Revisa",ROUND(ROUND(G142*(1+N($K$10)/100)/$O$7,0)*$O$7,2)))</f>
        <v/>
      </c>
      <c r="O142">
        <f>IF(B142="","",MAX($O$12:O141)+1)</f>
        <v/>
      </c>
      <c r="P142">
        <f>IF(AND(B142="",G142&lt;&gt;""),1,0)</f>
        <v/>
      </c>
    </row>
    <row r="143">
      <c r="A143" s="21" t="n"/>
      <c r="B143" s="21" t="n"/>
      <c r="C143" s="21" t="n"/>
      <c r="D143" s="22" t="n"/>
      <c r="E143" s="21" t="n"/>
      <c r="F143" s="23" t="n"/>
      <c r="G143" s="24" t="n"/>
      <c r="H143" s="25" t="n"/>
      <c r="I143" s="26">
        <f>IF(OR(NOT(ISNUMBER(G143)),N(D143)&lt;=1),"",ROUND(G143/D143,3))</f>
        <v/>
      </c>
      <c r="J143" s="27">
        <f>IF(G143="","",IF(NOT(ISNUMBER(G143)),"Revisa",IF(H143="","Falta IVA",ROUND(G143*(1+H143/100),2))))</f>
        <v/>
      </c>
      <c r="K143" s="27">
        <f>IF(G143="","",IF(NOT(ISNUMBER(G143)),"Revisa",IF(H143="","Falta IVA",ROUND(G143*(1+(H143+IF(H143=21,5.2,IF(H143=10,1.4,IF(H143=4,0.5,0))))/100),2))))</f>
        <v/>
      </c>
      <c r="L143" s="27">
        <f>IF(G143="","",IF(NOT(ISNUMBER(G143)),"Revisa",ROUND(ROUND(G143*(1+N($K$8)/100)/$O$7,0)*$O$7,2)))</f>
        <v/>
      </c>
      <c r="M143" s="27">
        <f>IF(G143="","",IF(NOT(ISNUMBER(G143)),"Revisa",ROUND(ROUND(G143*(1+N($K$9)/100)/$O$7,0)*$O$7,2)))</f>
        <v/>
      </c>
      <c r="N143" s="27">
        <f>IF(G143="","",IF(NOT(ISNUMBER(G143)),"Revisa",ROUND(ROUND(G143*(1+N($K$10)/100)/$O$7,0)*$O$7,2)))</f>
        <v/>
      </c>
      <c r="O143">
        <f>IF(B143="","",MAX($O$12:O142)+1)</f>
        <v/>
      </c>
      <c r="P143">
        <f>IF(AND(B143="",G143&lt;&gt;""),1,0)</f>
        <v/>
      </c>
    </row>
    <row r="144">
      <c r="A144" s="21" t="n"/>
      <c r="B144" s="21" t="n"/>
      <c r="C144" s="21" t="n"/>
      <c r="D144" s="22" t="n"/>
      <c r="E144" s="21" t="n"/>
      <c r="F144" s="23" t="n"/>
      <c r="G144" s="24" t="n"/>
      <c r="H144" s="25" t="n"/>
      <c r="I144" s="26">
        <f>IF(OR(NOT(ISNUMBER(G144)),N(D144)&lt;=1),"",ROUND(G144/D144,3))</f>
        <v/>
      </c>
      <c r="J144" s="27">
        <f>IF(G144="","",IF(NOT(ISNUMBER(G144)),"Revisa",IF(H144="","Falta IVA",ROUND(G144*(1+H144/100),2))))</f>
        <v/>
      </c>
      <c r="K144" s="27">
        <f>IF(G144="","",IF(NOT(ISNUMBER(G144)),"Revisa",IF(H144="","Falta IVA",ROUND(G144*(1+(H144+IF(H144=21,5.2,IF(H144=10,1.4,IF(H144=4,0.5,0))))/100),2))))</f>
        <v/>
      </c>
      <c r="L144" s="27">
        <f>IF(G144="","",IF(NOT(ISNUMBER(G144)),"Revisa",ROUND(ROUND(G144*(1+N($K$8)/100)/$O$7,0)*$O$7,2)))</f>
        <v/>
      </c>
      <c r="M144" s="27">
        <f>IF(G144="","",IF(NOT(ISNUMBER(G144)),"Revisa",ROUND(ROUND(G144*(1+N($K$9)/100)/$O$7,0)*$O$7,2)))</f>
        <v/>
      </c>
      <c r="N144" s="27">
        <f>IF(G144="","",IF(NOT(ISNUMBER(G144)),"Revisa",ROUND(ROUND(G144*(1+N($K$10)/100)/$O$7,0)*$O$7,2)))</f>
        <v/>
      </c>
      <c r="O144">
        <f>IF(B144="","",MAX($O$12:O143)+1)</f>
        <v/>
      </c>
      <c r="P144">
        <f>IF(AND(B144="",G144&lt;&gt;""),1,0)</f>
        <v/>
      </c>
    </row>
    <row r="145">
      <c r="A145" s="21" t="n"/>
      <c r="B145" s="21" t="n"/>
      <c r="C145" s="21" t="n"/>
      <c r="D145" s="22" t="n"/>
      <c r="E145" s="21" t="n"/>
      <c r="F145" s="23" t="n"/>
      <c r="G145" s="24" t="n"/>
      <c r="H145" s="25" t="n"/>
      <c r="I145" s="26">
        <f>IF(OR(NOT(ISNUMBER(G145)),N(D145)&lt;=1),"",ROUND(G145/D145,3))</f>
        <v/>
      </c>
      <c r="J145" s="27">
        <f>IF(G145="","",IF(NOT(ISNUMBER(G145)),"Revisa",IF(H145="","Falta IVA",ROUND(G145*(1+H145/100),2))))</f>
        <v/>
      </c>
      <c r="K145" s="27">
        <f>IF(G145="","",IF(NOT(ISNUMBER(G145)),"Revisa",IF(H145="","Falta IVA",ROUND(G145*(1+(H145+IF(H145=21,5.2,IF(H145=10,1.4,IF(H145=4,0.5,0))))/100),2))))</f>
        <v/>
      </c>
      <c r="L145" s="27">
        <f>IF(G145="","",IF(NOT(ISNUMBER(G145)),"Revisa",ROUND(ROUND(G145*(1+N($K$8)/100)/$O$7,0)*$O$7,2)))</f>
        <v/>
      </c>
      <c r="M145" s="27">
        <f>IF(G145="","",IF(NOT(ISNUMBER(G145)),"Revisa",ROUND(ROUND(G145*(1+N($K$9)/100)/$O$7,0)*$O$7,2)))</f>
        <v/>
      </c>
      <c r="N145" s="27">
        <f>IF(G145="","",IF(NOT(ISNUMBER(G145)),"Revisa",ROUND(ROUND(G145*(1+N($K$10)/100)/$O$7,0)*$O$7,2)))</f>
        <v/>
      </c>
      <c r="O145">
        <f>IF(B145="","",MAX($O$12:O144)+1)</f>
        <v/>
      </c>
      <c r="P145">
        <f>IF(AND(B145="",G145&lt;&gt;""),1,0)</f>
        <v/>
      </c>
    </row>
    <row r="146">
      <c r="A146" s="21" t="n"/>
      <c r="B146" s="21" t="n"/>
      <c r="C146" s="21" t="n"/>
      <c r="D146" s="22" t="n"/>
      <c r="E146" s="21" t="n"/>
      <c r="F146" s="23" t="n"/>
      <c r="G146" s="24" t="n"/>
      <c r="H146" s="25" t="n"/>
      <c r="I146" s="26">
        <f>IF(OR(NOT(ISNUMBER(G146)),N(D146)&lt;=1),"",ROUND(G146/D146,3))</f>
        <v/>
      </c>
      <c r="J146" s="27">
        <f>IF(G146="","",IF(NOT(ISNUMBER(G146)),"Revisa",IF(H146="","Falta IVA",ROUND(G146*(1+H146/100),2))))</f>
        <v/>
      </c>
      <c r="K146" s="27">
        <f>IF(G146="","",IF(NOT(ISNUMBER(G146)),"Revisa",IF(H146="","Falta IVA",ROUND(G146*(1+(H146+IF(H146=21,5.2,IF(H146=10,1.4,IF(H146=4,0.5,0))))/100),2))))</f>
        <v/>
      </c>
      <c r="L146" s="27">
        <f>IF(G146="","",IF(NOT(ISNUMBER(G146)),"Revisa",ROUND(ROUND(G146*(1+N($K$8)/100)/$O$7,0)*$O$7,2)))</f>
        <v/>
      </c>
      <c r="M146" s="27">
        <f>IF(G146="","",IF(NOT(ISNUMBER(G146)),"Revisa",ROUND(ROUND(G146*(1+N($K$9)/100)/$O$7,0)*$O$7,2)))</f>
        <v/>
      </c>
      <c r="N146" s="27">
        <f>IF(G146="","",IF(NOT(ISNUMBER(G146)),"Revisa",ROUND(ROUND(G146*(1+N($K$10)/100)/$O$7,0)*$O$7,2)))</f>
        <v/>
      </c>
      <c r="O146">
        <f>IF(B146="","",MAX($O$12:O145)+1)</f>
        <v/>
      </c>
      <c r="P146">
        <f>IF(AND(B146="",G146&lt;&gt;""),1,0)</f>
        <v/>
      </c>
    </row>
    <row r="147">
      <c r="A147" s="21" t="n"/>
      <c r="B147" s="21" t="n"/>
      <c r="C147" s="21" t="n"/>
      <c r="D147" s="22" t="n"/>
      <c r="E147" s="21" t="n"/>
      <c r="F147" s="23" t="n"/>
      <c r="G147" s="24" t="n"/>
      <c r="H147" s="25" t="n"/>
      <c r="I147" s="26">
        <f>IF(OR(NOT(ISNUMBER(G147)),N(D147)&lt;=1),"",ROUND(G147/D147,3))</f>
        <v/>
      </c>
      <c r="J147" s="27">
        <f>IF(G147="","",IF(NOT(ISNUMBER(G147)),"Revisa",IF(H147="","Falta IVA",ROUND(G147*(1+H147/100),2))))</f>
        <v/>
      </c>
      <c r="K147" s="27">
        <f>IF(G147="","",IF(NOT(ISNUMBER(G147)),"Revisa",IF(H147="","Falta IVA",ROUND(G147*(1+(H147+IF(H147=21,5.2,IF(H147=10,1.4,IF(H147=4,0.5,0))))/100),2))))</f>
        <v/>
      </c>
      <c r="L147" s="27">
        <f>IF(G147="","",IF(NOT(ISNUMBER(G147)),"Revisa",ROUND(ROUND(G147*(1+N($K$8)/100)/$O$7,0)*$O$7,2)))</f>
        <v/>
      </c>
      <c r="M147" s="27">
        <f>IF(G147="","",IF(NOT(ISNUMBER(G147)),"Revisa",ROUND(ROUND(G147*(1+N($K$9)/100)/$O$7,0)*$O$7,2)))</f>
        <v/>
      </c>
      <c r="N147" s="27">
        <f>IF(G147="","",IF(NOT(ISNUMBER(G147)),"Revisa",ROUND(ROUND(G147*(1+N($K$10)/100)/$O$7,0)*$O$7,2)))</f>
        <v/>
      </c>
      <c r="O147">
        <f>IF(B147="","",MAX($O$12:O146)+1)</f>
        <v/>
      </c>
      <c r="P147">
        <f>IF(AND(B147="",G147&lt;&gt;""),1,0)</f>
        <v/>
      </c>
    </row>
    <row r="148">
      <c r="A148" s="21" t="n"/>
      <c r="B148" s="21" t="n"/>
      <c r="C148" s="21" t="n"/>
      <c r="D148" s="22" t="n"/>
      <c r="E148" s="21" t="n"/>
      <c r="F148" s="23" t="n"/>
      <c r="G148" s="24" t="n"/>
      <c r="H148" s="25" t="n"/>
      <c r="I148" s="26">
        <f>IF(OR(NOT(ISNUMBER(G148)),N(D148)&lt;=1),"",ROUND(G148/D148,3))</f>
        <v/>
      </c>
      <c r="J148" s="27">
        <f>IF(G148="","",IF(NOT(ISNUMBER(G148)),"Revisa",IF(H148="","Falta IVA",ROUND(G148*(1+H148/100),2))))</f>
        <v/>
      </c>
      <c r="K148" s="27">
        <f>IF(G148="","",IF(NOT(ISNUMBER(G148)),"Revisa",IF(H148="","Falta IVA",ROUND(G148*(1+(H148+IF(H148=21,5.2,IF(H148=10,1.4,IF(H148=4,0.5,0))))/100),2))))</f>
        <v/>
      </c>
      <c r="L148" s="27">
        <f>IF(G148="","",IF(NOT(ISNUMBER(G148)),"Revisa",ROUND(ROUND(G148*(1+N($K$8)/100)/$O$7,0)*$O$7,2)))</f>
        <v/>
      </c>
      <c r="M148" s="27">
        <f>IF(G148="","",IF(NOT(ISNUMBER(G148)),"Revisa",ROUND(ROUND(G148*(1+N($K$9)/100)/$O$7,0)*$O$7,2)))</f>
        <v/>
      </c>
      <c r="N148" s="27">
        <f>IF(G148="","",IF(NOT(ISNUMBER(G148)),"Revisa",ROUND(ROUND(G148*(1+N($K$10)/100)/$O$7,0)*$O$7,2)))</f>
        <v/>
      </c>
      <c r="O148">
        <f>IF(B148="","",MAX($O$12:O147)+1)</f>
        <v/>
      </c>
      <c r="P148">
        <f>IF(AND(B148="",G148&lt;&gt;""),1,0)</f>
        <v/>
      </c>
    </row>
    <row r="149">
      <c r="A149" s="21" t="n"/>
      <c r="B149" s="21" t="n"/>
      <c r="C149" s="21" t="n"/>
      <c r="D149" s="22" t="n"/>
      <c r="E149" s="21" t="n"/>
      <c r="F149" s="23" t="n"/>
      <c r="G149" s="24" t="n"/>
      <c r="H149" s="25" t="n"/>
      <c r="I149" s="26">
        <f>IF(OR(NOT(ISNUMBER(G149)),N(D149)&lt;=1),"",ROUND(G149/D149,3))</f>
        <v/>
      </c>
      <c r="J149" s="27">
        <f>IF(G149="","",IF(NOT(ISNUMBER(G149)),"Revisa",IF(H149="","Falta IVA",ROUND(G149*(1+H149/100),2))))</f>
        <v/>
      </c>
      <c r="K149" s="27">
        <f>IF(G149="","",IF(NOT(ISNUMBER(G149)),"Revisa",IF(H149="","Falta IVA",ROUND(G149*(1+(H149+IF(H149=21,5.2,IF(H149=10,1.4,IF(H149=4,0.5,0))))/100),2))))</f>
        <v/>
      </c>
      <c r="L149" s="27">
        <f>IF(G149="","",IF(NOT(ISNUMBER(G149)),"Revisa",ROUND(ROUND(G149*(1+N($K$8)/100)/$O$7,0)*$O$7,2)))</f>
        <v/>
      </c>
      <c r="M149" s="27">
        <f>IF(G149="","",IF(NOT(ISNUMBER(G149)),"Revisa",ROUND(ROUND(G149*(1+N($K$9)/100)/$O$7,0)*$O$7,2)))</f>
        <v/>
      </c>
      <c r="N149" s="27">
        <f>IF(G149="","",IF(NOT(ISNUMBER(G149)),"Revisa",ROUND(ROUND(G149*(1+N($K$10)/100)/$O$7,0)*$O$7,2)))</f>
        <v/>
      </c>
      <c r="O149">
        <f>IF(B149="","",MAX($O$12:O148)+1)</f>
        <v/>
      </c>
      <c r="P149">
        <f>IF(AND(B149="",G149&lt;&gt;""),1,0)</f>
        <v/>
      </c>
    </row>
    <row r="150">
      <c r="A150" s="21" t="n"/>
      <c r="B150" s="21" t="n"/>
      <c r="C150" s="21" t="n"/>
      <c r="D150" s="22" t="n"/>
      <c r="E150" s="21" t="n"/>
      <c r="F150" s="23" t="n"/>
      <c r="G150" s="24" t="n"/>
      <c r="H150" s="25" t="n"/>
      <c r="I150" s="26">
        <f>IF(OR(NOT(ISNUMBER(G150)),N(D150)&lt;=1),"",ROUND(G150/D150,3))</f>
        <v/>
      </c>
      <c r="J150" s="27">
        <f>IF(G150="","",IF(NOT(ISNUMBER(G150)),"Revisa",IF(H150="","Falta IVA",ROUND(G150*(1+H150/100),2))))</f>
        <v/>
      </c>
      <c r="K150" s="27">
        <f>IF(G150="","",IF(NOT(ISNUMBER(G150)),"Revisa",IF(H150="","Falta IVA",ROUND(G150*(1+(H150+IF(H150=21,5.2,IF(H150=10,1.4,IF(H150=4,0.5,0))))/100),2))))</f>
        <v/>
      </c>
      <c r="L150" s="27">
        <f>IF(G150="","",IF(NOT(ISNUMBER(G150)),"Revisa",ROUND(ROUND(G150*(1+N($K$8)/100)/$O$7,0)*$O$7,2)))</f>
        <v/>
      </c>
      <c r="M150" s="27">
        <f>IF(G150="","",IF(NOT(ISNUMBER(G150)),"Revisa",ROUND(ROUND(G150*(1+N($K$9)/100)/$O$7,0)*$O$7,2)))</f>
        <v/>
      </c>
      <c r="N150" s="27">
        <f>IF(G150="","",IF(NOT(ISNUMBER(G150)),"Revisa",ROUND(ROUND(G150*(1+N($K$10)/100)/$O$7,0)*$O$7,2)))</f>
        <v/>
      </c>
      <c r="O150">
        <f>IF(B150="","",MAX($O$12:O149)+1)</f>
        <v/>
      </c>
      <c r="P150">
        <f>IF(AND(B150="",G150&lt;&gt;""),1,0)</f>
        <v/>
      </c>
    </row>
    <row r="151">
      <c r="A151" s="21" t="n"/>
      <c r="B151" s="21" t="n"/>
      <c r="C151" s="21" t="n"/>
      <c r="D151" s="22" t="n"/>
      <c r="E151" s="21" t="n"/>
      <c r="F151" s="23" t="n"/>
      <c r="G151" s="24" t="n"/>
      <c r="H151" s="25" t="n"/>
      <c r="I151" s="26">
        <f>IF(OR(NOT(ISNUMBER(G151)),N(D151)&lt;=1),"",ROUND(G151/D151,3))</f>
        <v/>
      </c>
      <c r="J151" s="27">
        <f>IF(G151="","",IF(NOT(ISNUMBER(G151)),"Revisa",IF(H151="","Falta IVA",ROUND(G151*(1+H151/100),2))))</f>
        <v/>
      </c>
      <c r="K151" s="27">
        <f>IF(G151="","",IF(NOT(ISNUMBER(G151)),"Revisa",IF(H151="","Falta IVA",ROUND(G151*(1+(H151+IF(H151=21,5.2,IF(H151=10,1.4,IF(H151=4,0.5,0))))/100),2))))</f>
        <v/>
      </c>
      <c r="L151" s="27">
        <f>IF(G151="","",IF(NOT(ISNUMBER(G151)),"Revisa",ROUND(ROUND(G151*(1+N($K$8)/100)/$O$7,0)*$O$7,2)))</f>
        <v/>
      </c>
      <c r="M151" s="27">
        <f>IF(G151="","",IF(NOT(ISNUMBER(G151)),"Revisa",ROUND(ROUND(G151*(1+N($K$9)/100)/$O$7,0)*$O$7,2)))</f>
        <v/>
      </c>
      <c r="N151" s="27">
        <f>IF(G151="","",IF(NOT(ISNUMBER(G151)),"Revisa",ROUND(ROUND(G151*(1+N($K$10)/100)/$O$7,0)*$O$7,2)))</f>
        <v/>
      </c>
      <c r="O151">
        <f>IF(B151="","",MAX($O$12:O150)+1)</f>
        <v/>
      </c>
      <c r="P151">
        <f>IF(AND(B151="",G151&lt;&gt;""),1,0)</f>
        <v/>
      </c>
    </row>
    <row r="152">
      <c r="A152" s="21" t="n"/>
      <c r="B152" s="21" t="n"/>
      <c r="C152" s="21" t="n"/>
      <c r="D152" s="22" t="n"/>
      <c r="E152" s="21" t="n"/>
      <c r="F152" s="23" t="n"/>
      <c r="G152" s="24" t="n"/>
      <c r="H152" s="25" t="n"/>
      <c r="I152" s="26">
        <f>IF(OR(NOT(ISNUMBER(G152)),N(D152)&lt;=1),"",ROUND(G152/D152,3))</f>
        <v/>
      </c>
      <c r="J152" s="27">
        <f>IF(G152="","",IF(NOT(ISNUMBER(G152)),"Revisa",IF(H152="","Falta IVA",ROUND(G152*(1+H152/100),2))))</f>
        <v/>
      </c>
      <c r="K152" s="27">
        <f>IF(G152="","",IF(NOT(ISNUMBER(G152)),"Revisa",IF(H152="","Falta IVA",ROUND(G152*(1+(H152+IF(H152=21,5.2,IF(H152=10,1.4,IF(H152=4,0.5,0))))/100),2))))</f>
        <v/>
      </c>
      <c r="L152" s="27">
        <f>IF(G152="","",IF(NOT(ISNUMBER(G152)),"Revisa",ROUND(ROUND(G152*(1+N($K$8)/100)/$O$7,0)*$O$7,2)))</f>
        <v/>
      </c>
      <c r="M152" s="27">
        <f>IF(G152="","",IF(NOT(ISNUMBER(G152)),"Revisa",ROUND(ROUND(G152*(1+N($K$9)/100)/$O$7,0)*$O$7,2)))</f>
        <v/>
      </c>
      <c r="N152" s="27">
        <f>IF(G152="","",IF(NOT(ISNUMBER(G152)),"Revisa",ROUND(ROUND(G152*(1+N($K$10)/100)/$O$7,0)*$O$7,2)))</f>
        <v/>
      </c>
      <c r="O152">
        <f>IF(B152="","",MAX($O$12:O151)+1)</f>
        <v/>
      </c>
      <c r="P152">
        <f>IF(AND(B152="",G152&lt;&gt;""),1,0)</f>
        <v/>
      </c>
    </row>
    <row r="153">
      <c r="A153" s="21" t="n"/>
      <c r="B153" s="21" t="n"/>
      <c r="C153" s="21" t="n"/>
      <c r="D153" s="22" t="n"/>
      <c r="E153" s="21" t="n"/>
      <c r="F153" s="23" t="n"/>
      <c r="G153" s="24" t="n"/>
      <c r="H153" s="25" t="n"/>
      <c r="I153" s="26">
        <f>IF(OR(NOT(ISNUMBER(G153)),N(D153)&lt;=1),"",ROUND(G153/D153,3))</f>
        <v/>
      </c>
      <c r="J153" s="27">
        <f>IF(G153="","",IF(NOT(ISNUMBER(G153)),"Revisa",IF(H153="","Falta IVA",ROUND(G153*(1+H153/100),2))))</f>
        <v/>
      </c>
      <c r="K153" s="27">
        <f>IF(G153="","",IF(NOT(ISNUMBER(G153)),"Revisa",IF(H153="","Falta IVA",ROUND(G153*(1+(H153+IF(H153=21,5.2,IF(H153=10,1.4,IF(H153=4,0.5,0))))/100),2))))</f>
        <v/>
      </c>
      <c r="L153" s="27">
        <f>IF(G153="","",IF(NOT(ISNUMBER(G153)),"Revisa",ROUND(ROUND(G153*(1+N($K$8)/100)/$O$7,0)*$O$7,2)))</f>
        <v/>
      </c>
      <c r="M153" s="27">
        <f>IF(G153="","",IF(NOT(ISNUMBER(G153)),"Revisa",ROUND(ROUND(G153*(1+N($K$9)/100)/$O$7,0)*$O$7,2)))</f>
        <v/>
      </c>
      <c r="N153" s="27">
        <f>IF(G153="","",IF(NOT(ISNUMBER(G153)),"Revisa",ROUND(ROUND(G153*(1+N($K$10)/100)/$O$7,0)*$O$7,2)))</f>
        <v/>
      </c>
      <c r="O153">
        <f>IF(B153="","",MAX($O$12:O152)+1)</f>
        <v/>
      </c>
      <c r="P153">
        <f>IF(AND(B153="",G153&lt;&gt;""),1,0)</f>
        <v/>
      </c>
    </row>
    <row r="154">
      <c r="A154" s="21" t="n"/>
      <c r="B154" s="21" t="n"/>
      <c r="C154" s="21" t="n"/>
      <c r="D154" s="22" t="n"/>
      <c r="E154" s="21" t="n"/>
      <c r="F154" s="23" t="n"/>
      <c r="G154" s="24" t="n"/>
      <c r="H154" s="25" t="n"/>
      <c r="I154" s="26">
        <f>IF(OR(NOT(ISNUMBER(G154)),N(D154)&lt;=1),"",ROUND(G154/D154,3))</f>
        <v/>
      </c>
      <c r="J154" s="27">
        <f>IF(G154="","",IF(NOT(ISNUMBER(G154)),"Revisa",IF(H154="","Falta IVA",ROUND(G154*(1+H154/100),2))))</f>
        <v/>
      </c>
      <c r="K154" s="27">
        <f>IF(G154="","",IF(NOT(ISNUMBER(G154)),"Revisa",IF(H154="","Falta IVA",ROUND(G154*(1+(H154+IF(H154=21,5.2,IF(H154=10,1.4,IF(H154=4,0.5,0))))/100),2))))</f>
        <v/>
      </c>
      <c r="L154" s="27">
        <f>IF(G154="","",IF(NOT(ISNUMBER(G154)),"Revisa",ROUND(ROUND(G154*(1+N($K$8)/100)/$O$7,0)*$O$7,2)))</f>
        <v/>
      </c>
      <c r="M154" s="27">
        <f>IF(G154="","",IF(NOT(ISNUMBER(G154)),"Revisa",ROUND(ROUND(G154*(1+N($K$9)/100)/$O$7,0)*$O$7,2)))</f>
        <v/>
      </c>
      <c r="N154" s="27">
        <f>IF(G154="","",IF(NOT(ISNUMBER(G154)),"Revisa",ROUND(ROUND(G154*(1+N($K$10)/100)/$O$7,0)*$O$7,2)))</f>
        <v/>
      </c>
      <c r="O154">
        <f>IF(B154="","",MAX($O$12:O153)+1)</f>
        <v/>
      </c>
      <c r="P154">
        <f>IF(AND(B154="",G154&lt;&gt;""),1,0)</f>
        <v/>
      </c>
    </row>
    <row r="155">
      <c r="A155" s="21" t="n"/>
      <c r="B155" s="21" t="n"/>
      <c r="C155" s="21" t="n"/>
      <c r="D155" s="22" t="n"/>
      <c r="E155" s="21" t="n"/>
      <c r="F155" s="23" t="n"/>
      <c r="G155" s="24" t="n"/>
      <c r="H155" s="25" t="n"/>
      <c r="I155" s="26">
        <f>IF(OR(NOT(ISNUMBER(G155)),N(D155)&lt;=1),"",ROUND(G155/D155,3))</f>
        <v/>
      </c>
      <c r="J155" s="27">
        <f>IF(G155="","",IF(NOT(ISNUMBER(G155)),"Revisa",IF(H155="","Falta IVA",ROUND(G155*(1+H155/100),2))))</f>
        <v/>
      </c>
      <c r="K155" s="27">
        <f>IF(G155="","",IF(NOT(ISNUMBER(G155)),"Revisa",IF(H155="","Falta IVA",ROUND(G155*(1+(H155+IF(H155=21,5.2,IF(H155=10,1.4,IF(H155=4,0.5,0))))/100),2))))</f>
        <v/>
      </c>
      <c r="L155" s="27">
        <f>IF(G155="","",IF(NOT(ISNUMBER(G155)),"Revisa",ROUND(ROUND(G155*(1+N($K$8)/100)/$O$7,0)*$O$7,2)))</f>
        <v/>
      </c>
      <c r="M155" s="27">
        <f>IF(G155="","",IF(NOT(ISNUMBER(G155)),"Revisa",ROUND(ROUND(G155*(1+N($K$9)/100)/$O$7,0)*$O$7,2)))</f>
        <v/>
      </c>
      <c r="N155" s="27">
        <f>IF(G155="","",IF(NOT(ISNUMBER(G155)),"Revisa",ROUND(ROUND(G155*(1+N($K$10)/100)/$O$7,0)*$O$7,2)))</f>
        <v/>
      </c>
      <c r="O155">
        <f>IF(B155="","",MAX($O$12:O154)+1)</f>
        <v/>
      </c>
      <c r="P155">
        <f>IF(AND(B155="",G155&lt;&gt;""),1,0)</f>
        <v/>
      </c>
    </row>
    <row r="156">
      <c r="A156" s="21" t="n"/>
      <c r="B156" s="21" t="n"/>
      <c r="C156" s="21" t="n"/>
      <c r="D156" s="22" t="n"/>
      <c r="E156" s="21" t="n"/>
      <c r="F156" s="23" t="n"/>
      <c r="G156" s="24" t="n"/>
      <c r="H156" s="25" t="n"/>
      <c r="I156" s="26">
        <f>IF(OR(NOT(ISNUMBER(G156)),N(D156)&lt;=1),"",ROUND(G156/D156,3))</f>
        <v/>
      </c>
      <c r="J156" s="27">
        <f>IF(G156="","",IF(NOT(ISNUMBER(G156)),"Revisa",IF(H156="","Falta IVA",ROUND(G156*(1+H156/100),2))))</f>
        <v/>
      </c>
      <c r="K156" s="27">
        <f>IF(G156="","",IF(NOT(ISNUMBER(G156)),"Revisa",IF(H156="","Falta IVA",ROUND(G156*(1+(H156+IF(H156=21,5.2,IF(H156=10,1.4,IF(H156=4,0.5,0))))/100),2))))</f>
        <v/>
      </c>
      <c r="L156" s="27">
        <f>IF(G156="","",IF(NOT(ISNUMBER(G156)),"Revisa",ROUND(ROUND(G156*(1+N($K$8)/100)/$O$7,0)*$O$7,2)))</f>
        <v/>
      </c>
      <c r="M156" s="27">
        <f>IF(G156="","",IF(NOT(ISNUMBER(G156)),"Revisa",ROUND(ROUND(G156*(1+N($K$9)/100)/$O$7,0)*$O$7,2)))</f>
        <v/>
      </c>
      <c r="N156" s="27">
        <f>IF(G156="","",IF(NOT(ISNUMBER(G156)),"Revisa",ROUND(ROUND(G156*(1+N($K$10)/100)/$O$7,0)*$O$7,2)))</f>
        <v/>
      </c>
      <c r="O156">
        <f>IF(B156="","",MAX($O$12:O155)+1)</f>
        <v/>
      </c>
      <c r="P156">
        <f>IF(AND(B156="",G156&lt;&gt;""),1,0)</f>
        <v/>
      </c>
    </row>
    <row r="157">
      <c r="A157" s="21" t="n"/>
      <c r="B157" s="21" t="n"/>
      <c r="C157" s="21" t="n"/>
      <c r="D157" s="22" t="n"/>
      <c r="E157" s="21" t="n"/>
      <c r="F157" s="23" t="n"/>
      <c r="G157" s="24" t="n"/>
      <c r="H157" s="25" t="n"/>
      <c r="I157" s="26">
        <f>IF(OR(NOT(ISNUMBER(G157)),N(D157)&lt;=1),"",ROUND(G157/D157,3))</f>
        <v/>
      </c>
      <c r="J157" s="27">
        <f>IF(G157="","",IF(NOT(ISNUMBER(G157)),"Revisa",IF(H157="","Falta IVA",ROUND(G157*(1+H157/100),2))))</f>
        <v/>
      </c>
      <c r="K157" s="27">
        <f>IF(G157="","",IF(NOT(ISNUMBER(G157)),"Revisa",IF(H157="","Falta IVA",ROUND(G157*(1+(H157+IF(H157=21,5.2,IF(H157=10,1.4,IF(H157=4,0.5,0))))/100),2))))</f>
        <v/>
      </c>
      <c r="L157" s="27">
        <f>IF(G157="","",IF(NOT(ISNUMBER(G157)),"Revisa",ROUND(ROUND(G157*(1+N($K$8)/100)/$O$7,0)*$O$7,2)))</f>
        <v/>
      </c>
      <c r="M157" s="27">
        <f>IF(G157="","",IF(NOT(ISNUMBER(G157)),"Revisa",ROUND(ROUND(G157*(1+N($K$9)/100)/$O$7,0)*$O$7,2)))</f>
        <v/>
      </c>
      <c r="N157" s="27">
        <f>IF(G157="","",IF(NOT(ISNUMBER(G157)),"Revisa",ROUND(ROUND(G157*(1+N($K$10)/100)/$O$7,0)*$O$7,2)))</f>
        <v/>
      </c>
      <c r="O157">
        <f>IF(B157="","",MAX($O$12:O156)+1)</f>
        <v/>
      </c>
      <c r="P157">
        <f>IF(AND(B157="",G157&lt;&gt;""),1,0)</f>
        <v/>
      </c>
    </row>
    <row r="158">
      <c r="A158" s="21" t="n"/>
      <c r="B158" s="21" t="n"/>
      <c r="C158" s="21" t="n"/>
      <c r="D158" s="22" t="n"/>
      <c r="E158" s="21" t="n"/>
      <c r="F158" s="23" t="n"/>
      <c r="G158" s="24" t="n"/>
      <c r="H158" s="25" t="n"/>
      <c r="I158" s="26">
        <f>IF(OR(NOT(ISNUMBER(G158)),N(D158)&lt;=1),"",ROUND(G158/D158,3))</f>
        <v/>
      </c>
      <c r="J158" s="27">
        <f>IF(G158="","",IF(NOT(ISNUMBER(G158)),"Revisa",IF(H158="","Falta IVA",ROUND(G158*(1+H158/100),2))))</f>
        <v/>
      </c>
      <c r="K158" s="27">
        <f>IF(G158="","",IF(NOT(ISNUMBER(G158)),"Revisa",IF(H158="","Falta IVA",ROUND(G158*(1+(H158+IF(H158=21,5.2,IF(H158=10,1.4,IF(H158=4,0.5,0))))/100),2))))</f>
        <v/>
      </c>
      <c r="L158" s="27">
        <f>IF(G158="","",IF(NOT(ISNUMBER(G158)),"Revisa",ROUND(ROUND(G158*(1+N($K$8)/100)/$O$7,0)*$O$7,2)))</f>
        <v/>
      </c>
      <c r="M158" s="27">
        <f>IF(G158="","",IF(NOT(ISNUMBER(G158)),"Revisa",ROUND(ROUND(G158*(1+N($K$9)/100)/$O$7,0)*$O$7,2)))</f>
        <v/>
      </c>
      <c r="N158" s="27">
        <f>IF(G158="","",IF(NOT(ISNUMBER(G158)),"Revisa",ROUND(ROUND(G158*(1+N($K$10)/100)/$O$7,0)*$O$7,2)))</f>
        <v/>
      </c>
      <c r="O158">
        <f>IF(B158="","",MAX($O$12:O157)+1)</f>
        <v/>
      </c>
      <c r="P158">
        <f>IF(AND(B158="",G158&lt;&gt;""),1,0)</f>
        <v/>
      </c>
    </row>
    <row r="159">
      <c r="A159" s="21" t="n"/>
      <c r="B159" s="21" t="n"/>
      <c r="C159" s="21" t="n"/>
      <c r="D159" s="22" t="n"/>
      <c r="E159" s="21" t="n"/>
      <c r="F159" s="23" t="n"/>
      <c r="G159" s="24" t="n"/>
      <c r="H159" s="25" t="n"/>
      <c r="I159" s="26">
        <f>IF(OR(NOT(ISNUMBER(G159)),N(D159)&lt;=1),"",ROUND(G159/D159,3))</f>
        <v/>
      </c>
      <c r="J159" s="27">
        <f>IF(G159="","",IF(NOT(ISNUMBER(G159)),"Revisa",IF(H159="","Falta IVA",ROUND(G159*(1+H159/100),2))))</f>
        <v/>
      </c>
      <c r="K159" s="27">
        <f>IF(G159="","",IF(NOT(ISNUMBER(G159)),"Revisa",IF(H159="","Falta IVA",ROUND(G159*(1+(H159+IF(H159=21,5.2,IF(H159=10,1.4,IF(H159=4,0.5,0))))/100),2))))</f>
        <v/>
      </c>
      <c r="L159" s="27">
        <f>IF(G159="","",IF(NOT(ISNUMBER(G159)),"Revisa",ROUND(ROUND(G159*(1+N($K$8)/100)/$O$7,0)*$O$7,2)))</f>
        <v/>
      </c>
      <c r="M159" s="27">
        <f>IF(G159="","",IF(NOT(ISNUMBER(G159)),"Revisa",ROUND(ROUND(G159*(1+N($K$9)/100)/$O$7,0)*$O$7,2)))</f>
        <v/>
      </c>
      <c r="N159" s="27">
        <f>IF(G159="","",IF(NOT(ISNUMBER(G159)),"Revisa",ROUND(ROUND(G159*(1+N($K$10)/100)/$O$7,0)*$O$7,2)))</f>
        <v/>
      </c>
      <c r="O159">
        <f>IF(B159="","",MAX($O$12:O158)+1)</f>
        <v/>
      </c>
      <c r="P159">
        <f>IF(AND(B159="",G159&lt;&gt;""),1,0)</f>
        <v/>
      </c>
    </row>
    <row r="160">
      <c r="A160" s="21" t="n"/>
      <c r="B160" s="21" t="n"/>
      <c r="C160" s="21" t="n"/>
      <c r="D160" s="22" t="n"/>
      <c r="E160" s="21" t="n"/>
      <c r="F160" s="23" t="n"/>
      <c r="G160" s="24" t="n"/>
      <c r="H160" s="25" t="n"/>
      <c r="I160" s="26">
        <f>IF(OR(NOT(ISNUMBER(G160)),N(D160)&lt;=1),"",ROUND(G160/D160,3))</f>
        <v/>
      </c>
      <c r="J160" s="27">
        <f>IF(G160="","",IF(NOT(ISNUMBER(G160)),"Revisa",IF(H160="","Falta IVA",ROUND(G160*(1+H160/100),2))))</f>
        <v/>
      </c>
      <c r="K160" s="27">
        <f>IF(G160="","",IF(NOT(ISNUMBER(G160)),"Revisa",IF(H160="","Falta IVA",ROUND(G160*(1+(H160+IF(H160=21,5.2,IF(H160=10,1.4,IF(H160=4,0.5,0))))/100),2))))</f>
        <v/>
      </c>
      <c r="L160" s="27">
        <f>IF(G160="","",IF(NOT(ISNUMBER(G160)),"Revisa",ROUND(ROUND(G160*(1+N($K$8)/100)/$O$7,0)*$O$7,2)))</f>
        <v/>
      </c>
      <c r="M160" s="27">
        <f>IF(G160="","",IF(NOT(ISNUMBER(G160)),"Revisa",ROUND(ROUND(G160*(1+N($K$9)/100)/$O$7,0)*$O$7,2)))</f>
        <v/>
      </c>
      <c r="N160" s="27">
        <f>IF(G160="","",IF(NOT(ISNUMBER(G160)),"Revisa",ROUND(ROUND(G160*(1+N($K$10)/100)/$O$7,0)*$O$7,2)))</f>
        <v/>
      </c>
      <c r="O160">
        <f>IF(B160="","",MAX($O$12:O159)+1)</f>
        <v/>
      </c>
      <c r="P160">
        <f>IF(AND(B160="",G160&lt;&gt;""),1,0)</f>
        <v/>
      </c>
    </row>
    <row r="161">
      <c r="A161" s="21" t="n"/>
      <c r="B161" s="21" t="n"/>
      <c r="C161" s="21" t="n"/>
      <c r="D161" s="22" t="n"/>
      <c r="E161" s="21" t="n"/>
      <c r="F161" s="23" t="n"/>
      <c r="G161" s="24" t="n"/>
      <c r="H161" s="25" t="n"/>
      <c r="I161" s="26">
        <f>IF(OR(NOT(ISNUMBER(G161)),N(D161)&lt;=1),"",ROUND(G161/D161,3))</f>
        <v/>
      </c>
      <c r="J161" s="27">
        <f>IF(G161="","",IF(NOT(ISNUMBER(G161)),"Revisa",IF(H161="","Falta IVA",ROUND(G161*(1+H161/100),2))))</f>
        <v/>
      </c>
      <c r="K161" s="27">
        <f>IF(G161="","",IF(NOT(ISNUMBER(G161)),"Revisa",IF(H161="","Falta IVA",ROUND(G161*(1+(H161+IF(H161=21,5.2,IF(H161=10,1.4,IF(H161=4,0.5,0))))/100),2))))</f>
        <v/>
      </c>
      <c r="L161" s="27">
        <f>IF(G161="","",IF(NOT(ISNUMBER(G161)),"Revisa",ROUND(ROUND(G161*(1+N($K$8)/100)/$O$7,0)*$O$7,2)))</f>
        <v/>
      </c>
      <c r="M161" s="27">
        <f>IF(G161="","",IF(NOT(ISNUMBER(G161)),"Revisa",ROUND(ROUND(G161*(1+N($K$9)/100)/$O$7,0)*$O$7,2)))</f>
        <v/>
      </c>
      <c r="N161" s="27">
        <f>IF(G161="","",IF(NOT(ISNUMBER(G161)),"Revisa",ROUND(ROUND(G161*(1+N($K$10)/100)/$O$7,0)*$O$7,2)))</f>
        <v/>
      </c>
      <c r="O161">
        <f>IF(B161="","",MAX($O$12:O160)+1)</f>
        <v/>
      </c>
      <c r="P161">
        <f>IF(AND(B161="",G161&lt;&gt;""),1,0)</f>
        <v/>
      </c>
    </row>
    <row r="162">
      <c r="A162" s="21" t="n"/>
      <c r="B162" s="21" t="n"/>
      <c r="C162" s="21" t="n"/>
      <c r="D162" s="22" t="n"/>
      <c r="E162" s="21" t="n"/>
      <c r="F162" s="23" t="n"/>
      <c r="G162" s="24" t="n"/>
      <c r="H162" s="25" t="n"/>
      <c r="I162" s="26">
        <f>IF(OR(NOT(ISNUMBER(G162)),N(D162)&lt;=1),"",ROUND(G162/D162,3))</f>
        <v/>
      </c>
      <c r="J162" s="27">
        <f>IF(G162="","",IF(NOT(ISNUMBER(G162)),"Revisa",IF(H162="","Falta IVA",ROUND(G162*(1+H162/100),2))))</f>
        <v/>
      </c>
      <c r="K162" s="27">
        <f>IF(G162="","",IF(NOT(ISNUMBER(G162)),"Revisa",IF(H162="","Falta IVA",ROUND(G162*(1+(H162+IF(H162=21,5.2,IF(H162=10,1.4,IF(H162=4,0.5,0))))/100),2))))</f>
        <v/>
      </c>
      <c r="L162" s="27">
        <f>IF(G162="","",IF(NOT(ISNUMBER(G162)),"Revisa",ROUND(ROUND(G162*(1+N($K$8)/100)/$O$7,0)*$O$7,2)))</f>
        <v/>
      </c>
      <c r="M162" s="27">
        <f>IF(G162="","",IF(NOT(ISNUMBER(G162)),"Revisa",ROUND(ROUND(G162*(1+N($K$9)/100)/$O$7,0)*$O$7,2)))</f>
        <v/>
      </c>
      <c r="N162" s="27">
        <f>IF(G162="","",IF(NOT(ISNUMBER(G162)),"Revisa",ROUND(ROUND(G162*(1+N($K$10)/100)/$O$7,0)*$O$7,2)))</f>
        <v/>
      </c>
      <c r="O162">
        <f>IF(B162="","",MAX($O$12:O161)+1)</f>
        <v/>
      </c>
      <c r="P162">
        <f>IF(AND(B162="",G162&lt;&gt;""),1,0)</f>
        <v/>
      </c>
    </row>
    <row r="163">
      <c r="A163" s="21" t="n"/>
      <c r="B163" s="21" t="n"/>
      <c r="C163" s="21" t="n"/>
      <c r="D163" s="22" t="n"/>
      <c r="E163" s="21" t="n"/>
      <c r="F163" s="23" t="n"/>
      <c r="G163" s="24" t="n"/>
      <c r="H163" s="25" t="n"/>
      <c r="I163" s="26">
        <f>IF(OR(NOT(ISNUMBER(G163)),N(D163)&lt;=1),"",ROUND(G163/D163,3))</f>
        <v/>
      </c>
      <c r="J163" s="27">
        <f>IF(G163="","",IF(NOT(ISNUMBER(G163)),"Revisa",IF(H163="","Falta IVA",ROUND(G163*(1+H163/100),2))))</f>
        <v/>
      </c>
      <c r="K163" s="27">
        <f>IF(G163="","",IF(NOT(ISNUMBER(G163)),"Revisa",IF(H163="","Falta IVA",ROUND(G163*(1+(H163+IF(H163=21,5.2,IF(H163=10,1.4,IF(H163=4,0.5,0))))/100),2))))</f>
        <v/>
      </c>
      <c r="L163" s="27">
        <f>IF(G163="","",IF(NOT(ISNUMBER(G163)),"Revisa",ROUND(ROUND(G163*(1+N($K$8)/100)/$O$7,0)*$O$7,2)))</f>
        <v/>
      </c>
      <c r="M163" s="27">
        <f>IF(G163="","",IF(NOT(ISNUMBER(G163)),"Revisa",ROUND(ROUND(G163*(1+N($K$9)/100)/$O$7,0)*$O$7,2)))</f>
        <v/>
      </c>
      <c r="N163" s="27">
        <f>IF(G163="","",IF(NOT(ISNUMBER(G163)),"Revisa",ROUND(ROUND(G163*(1+N($K$10)/100)/$O$7,0)*$O$7,2)))</f>
        <v/>
      </c>
      <c r="O163">
        <f>IF(B163="","",MAX($O$12:O162)+1)</f>
        <v/>
      </c>
      <c r="P163">
        <f>IF(AND(B163="",G163&lt;&gt;""),1,0)</f>
        <v/>
      </c>
    </row>
    <row r="164">
      <c r="A164" s="21" t="n"/>
      <c r="B164" s="21" t="n"/>
      <c r="C164" s="21" t="n"/>
      <c r="D164" s="22" t="n"/>
      <c r="E164" s="21" t="n"/>
      <c r="F164" s="23" t="n"/>
      <c r="G164" s="24" t="n"/>
      <c r="H164" s="25" t="n"/>
      <c r="I164" s="26">
        <f>IF(OR(NOT(ISNUMBER(G164)),N(D164)&lt;=1),"",ROUND(G164/D164,3))</f>
        <v/>
      </c>
      <c r="J164" s="27">
        <f>IF(G164="","",IF(NOT(ISNUMBER(G164)),"Revisa",IF(H164="","Falta IVA",ROUND(G164*(1+H164/100),2))))</f>
        <v/>
      </c>
      <c r="K164" s="27">
        <f>IF(G164="","",IF(NOT(ISNUMBER(G164)),"Revisa",IF(H164="","Falta IVA",ROUND(G164*(1+(H164+IF(H164=21,5.2,IF(H164=10,1.4,IF(H164=4,0.5,0))))/100),2))))</f>
        <v/>
      </c>
      <c r="L164" s="27">
        <f>IF(G164="","",IF(NOT(ISNUMBER(G164)),"Revisa",ROUND(ROUND(G164*(1+N($K$8)/100)/$O$7,0)*$O$7,2)))</f>
        <v/>
      </c>
      <c r="M164" s="27">
        <f>IF(G164="","",IF(NOT(ISNUMBER(G164)),"Revisa",ROUND(ROUND(G164*(1+N($K$9)/100)/$O$7,0)*$O$7,2)))</f>
        <v/>
      </c>
      <c r="N164" s="27">
        <f>IF(G164="","",IF(NOT(ISNUMBER(G164)),"Revisa",ROUND(ROUND(G164*(1+N($K$10)/100)/$O$7,0)*$O$7,2)))</f>
        <v/>
      </c>
      <c r="O164">
        <f>IF(B164="","",MAX($O$12:O163)+1)</f>
        <v/>
      </c>
      <c r="P164">
        <f>IF(AND(B164="",G164&lt;&gt;""),1,0)</f>
        <v/>
      </c>
    </row>
    <row r="165">
      <c r="A165" s="21" t="n"/>
      <c r="B165" s="21" t="n"/>
      <c r="C165" s="21" t="n"/>
      <c r="D165" s="22" t="n"/>
      <c r="E165" s="21" t="n"/>
      <c r="F165" s="23" t="n"/>
      <c r="G165" s="24" t="n"/>
      <c r="H165" s="25" t="n"/>
      <c r="I165" s="26">
        <f>IF(OR(NOT(ISNUMBER(G165)),N(D165)&lt;=1),"",ROUND(G165/D165,3))</f>
        <v/>
      </c>
      <c r="J165" s="27">
        <f>IF(G165="","",IF(NOT(ISNUMBER(G165)),"Revisa",IF(H165="","Falta IVA",ROUND(G165*(1+H165/100),2))))</f>
        <v/>
      </c>
      <c r="K165" s="27">
        <f>IF(G165="","",IF(NOT(ISNUMBER(G165)),"Revisa",IF(H165="","Falta IVA",ROUND(G165*(1+(H165+IF(H165=21,5.2,IF(H165=10,1.4,IF(H165=4,0.5,0))))/100),2))))</f>
        <v/>
      </c>
      <c r="L165" s="27">
        <f>IF(G165="","",IF(NOT(ISNUMBER(G165)),"Revisa",ROUND(ROUND(G165*(1+N($K$8)/100)/$O$7,0)*$O$7,2)))</f>
        <v/>
      </c>
      <c r="M165" s="27">
        <f>IF(G165="","",IF(NOT(ISNUMBER(G165)),"Revisa",ROUND(ROUND(G165*(1+N($K$9)/100)/$O$7,0)*$O$7,2)))</f>
        <v/>
      </c>
      <c r="N165" s="27">
        <f>IF(G165="","",IF(NOT(ISNUMBER(G165)),"Revisa",ROUND(ROUND(G165*(1+N($K$10)/100)/$O$7,0)*$O$7,2)))</f>
        <v/>
      </c>
      <c r="O165">
        <f>IF(B165="","",MAX($O$12:O164)+1)</f>
        <v/>
      </c>
      <c r="P165">
        <f>IF(AND(B165="",G165&lt;&gt;""),1,0)</f>
        <v/>
      </c>
    </row>
    <row r="166">
      <c r="A166" s="21" t="n"/>
      <c r="B166" s="21" t="n"/>
      <c r="C166" s="21" t="n"/>
      <c r="D166" s="22" t="n"/>
      <c r="E166" s="21" t="n"/>
      <c r="F166" s="23" t="n"/>
      <c r="G166" s="24" t="n"/>
      <c r="H166" s="25" t="n"/>
      <c r="I166" s="26">
        <f>IF(OR(NOT(ISNUMBER(G166)),N(D166)&lt;=1),"",ROUND(G166/D166,3))</f>
        <v/>
      </c>
      <c r="J166" s="27">
        <f>IF(G166="","",IF(NOT(ISNUMBER(G166)),"Revisa",IF(H166="","Falta IVA",ROUND(G166*(1+H166/100),2))))</f>
        <v/>
      </c>
      <c r="K166" s="27">
        <f>IF(G166="","",IF(NOT(ISNUMBER(G166)),"Revisa",IF(H166="","Falta IVA",ROUND(G166*(1+(H166+IF(H166=21,5.2,IF(H166=10,1.4,IF(H166=4,0.5,0))))/100),2))))</f>
        <v/>
      </c>
      <c r="L166" s="27">
        <f>IF(G166="","",IF(NOT(ISNUMBER(G166)),"Revisa",ROUND(ROUND(G166*(1+N($K$8)/100)/$O$7,0)*$O$7,2)))</f>
        <v/>
      </c>
      <c r="M166" s="27">
        <f>IF(G166="","",IF(NOT(ISNUMBER(G166)),"Revisa",ROUND(ROUND(G166*(1+N($K$9)/100)/$O$7,0)*$O$7,2)))</f>
        <v/>
      </c>
      <c r="N166" s="27">
        <f>IF(G166="","",IF(NOT(ISNUMBER(G166)),"Revisa",ROUND(ROUND(G166*(1+N($K$10)/100)/$O$7,0)*$O$7,2)))</f>
        <v/>
      </c>
      <c r="O166">
        <f>IF(B166="","",MAX($O$12:O165)+1)</f>
        <v/>
      </c>
      <c r="P166">
        <f>IF(AND(B166="",G166&lt;&gt;""),1,0)</f>
        <v/>
      </c>
    </row>
    <row r="167">
      <c r="A167" s="21" t="n"/>
      <c r="B167" s="21" t="n"/>
      <c r="C167" s="21" t="n"/>
      <c r="D167" s="22" t="n"/>
      <c r="E167" s="21" t="n"/>
      <c r="F167" s="23" t="n"/>
      <c r="G167" s="24" t="n"/>
      <c r="H167" s="25" t="n"/>
      <c r="I167" s="26">
        <f>IF(OR(NOT(ISNUMBER(G167)),N(D167)&lt;=1),"",ROUND(G167/D167,3))</f>
        <v/>
      </c>
      <c r="J167" s="27">
        <f>IF(G167="","",IF(NOT(ISNUMBER(G167)),"Revisa",IF(H167="","Falta IVA",ROUND(G167*(1+H167/100),2))))</f>
        <v/>
      </c>
      <c r="K167" s="27">
        <f>IF(G167="","",IF(NOT(ISNUMBER(G167)),"Revisa",IF(H167="","Falta IVA",ROUND(G167*(1+(H167+IF(H167=21,5.2,IF(H167=10,1.4,IF(H167=4,0.5,0))))/100),2))))</f>
        <v/>
      </c>
      <c r="L167" s="27">
        <f>IF(G167="","",IF(NOT(ISNUMBER(G167)),"Revisa",ROUND(ROUND(G167*(1+N($K$8)/100)/$O$7,0)*$O$7,2)))</f>
        <v/>
      </c>
      <c r="M167" s="27">
        <f>IF(G167="","",IF(NOT(ISNUMBER(G167)),"Revisa",ROUND(ROUND(G167*(1+N($K$9)/100)/$O$7,0)*$O$7,2)))</f>
        <v/>
      </c>
      <c r="N167" s="27">
        <f>IF(G167="","",IF(NOT(ISNUMBER(G167)),"Revisa",ROUND(ROUND(G167*(1+N($K$10)/100)/$O$7,0)*$O$7,2)))</f>
        <v/>
      </c>
      <c r="O167">
        <f>IF(B167="","",MAX($O$12:O166)+1)</f>
        <v/>
      </c>
      <c r="P167">
        <f>IF(AND(B167="",G167&lt;&gt;""),1,0)</f>
        <v/>
      </c>
    </row>
    <row r="168">
      <c r="A168" s="21" t="n"/>
      <c r="B168" s="21" t="n"/>
      <c r="C168" s="21" t="n"/>
      <c r="D168" s="22" t="n"/>
      <c r="E168" s="21" t="n"/>
      <c r="F168" s="23" t="n"/>
      <c r="G168" s="24" t="n"/>
      <c r="H168" s="25" t="n"/>
      <c r="I168" s="26">
        <f>IF(OR(NOT(ISNUMBER(G168)),N(D168)&lt;=1),"",ROUND(G168/D168,3))</f>
        <v/>
      </c>
      <c r="J168" s="27">
        <f>IF(G168="","",IF(NOT(ISNUMBER(G168)),"Revisa",IF(H168="","Falta IVA",ROUND(G168*(1+H168/100),2))))</f>
        <v/>
      </c>
      <c r="K168" s="27">
        <f>IF(G168="","",IF(NOT(ISNUMBER(G168)),"Revisa",IF(H168="","Falta IVA",ROUND(G168*(1+(H168+IF(H168=21,5.2,IF(H168=10,1.4,IF(H168=4,0.5,0))))/100),2))))</f>
        <v/>
      </c>
      <c r="L168" s="27">
        <f>IF(G168="","",IF(NOT(ISNUMBER(G168)),"Revisa",ROUND(ROUND(G168*(1+N($K$8)/100)/$O$7,0)*$O$7,2)))</f>
        <v/>
      </c>
      <c r="M168" s="27">
        <f>IF(G168="","",IF(NOT(ISNUMBER(G168)),"Revisa",ROUND(ROUND(G168*(1+N($K$9)/100)/$O$7,0)*$O$7,2)))</f>
        <v/>
      </c>
      <c r="N168" s="27">
        <f>IF(G168="","",IF(NOT(ISNUMBER(G168)),"Revisa",ROUND(ROUND(G168*(1+N($K$10)/100)/$O$7,0)*$O$7,2)))</f>
        <v/>
      </c>
      <c r="O168">
        <f>IF(B168="","",MAX($O$12:O167)+1)</f>
        <v/>
      </c>
      <c r="P168">
        <f>IF(AND(B168="",G168&lt;&gt;""),1,0)</f>
        <v/>
      </c>
    </row>
    <row r="169">
      <c r="A169" s="21" t="n"/>
      <c r="B169" s="21" t="n"/>
      <c r="C169" s="21" t="n"/>
      <c r="D169" s="22" t="n"/>
      <c r="E169" s="21" t="n"/>
      <c r="F169" s="23" t="n"/>
      <c r="G169" s="24" t="n"/>
      <c r="H169" s="25" t="n"/>
      <c r="I169" s="26">
        <f>IF(OR(NOT(ISNUMBER(G169)),N(D169)&lt;=1),"",ROUND(G169/D169,3))</f>
        <v/>
      </c>
      <c r="J169" s="27">
        <f>IF(G169="","",IF(NOT(ISNUMBER(G169)),"Revisa",IF(H169="","Falta IVA",ROUND(G169*(1+H169/100),2))))</f>
        <v/>
      </c>
      <c r="K169" s="27">
        <f>IF(G169="","",IF(NOT(ISNUMBER(G169)),"Revisa",IF(H169="","Falta IVA",ROUND(G169*(1+(H169+IF(H169=21,5.2,IF(H169=10,1.4,IF(H169=4,0.5,0))))/100),2))))</f>
        <v/>
      </c>
      <c r="L169" s="27">
        <f>IF(G169="","",IF(NOT(ISNUMBER(G169)),"Revisa",ROUND(ROUND(G169*(1+N($K$8)/100)/$O$7,0)*$O$7,2)))</f>
        <v/>
      </c>
      <c r="M169" s="27">
        <f>IF(G169="","",IF(NOT(ISNUMBER(G169)),"Revisa",ROUND(ROUND(G169*(1+N($K$9)/100)/$O$7,0)*$O$7,2)))</f>
        <v/>
      </c>
      <c r="N169" s="27">
        <f>IF(G169="","",IF(NOT(ISNUMBER(G169)),"Revisa",ROUND(ROUND(G169*(1+N($K$10)/100)/$O$7,0)*$O$7,2)))</f>
        <v/>
      </c>
      <c r="O169">
        <f>IF(B169="","",MAX($O$12:O168)+1)</f>
        <v/>
      </c>
      <c r="P169">
        <f>IF(AND(B169="",G169&lt;&gt;""),1,0)</f>
        <v/>
      </c>
    </row>
    <row r="170">
      <c r="A170" s="21" t="n"/>
      <c r="B170" s="21" t="n"/>
      <c r="C170" s="21" t="n"/>
      <c r="D170" s="22" t="n"/>
      <c r="E170" s="21" t="n"/>
      <c r="F170" s="23" t="n"/>
      <c r="G170" s="24" t="n"/>
      <c r="H170" s="25" t="n"/>
      <c r="I170" s="26">
        <f>IF(OR(NOT(ISNUMBER(G170)),N(D170)&lt;=1),"",ROUND(G170/D170,3))</f>
        <v/>
      </c>
      <c r="J170" s="27">
        <f>IF(G170="","",IF(NOT(ISNUMBER(G170)),"Revisa",IF(H170="","Falta IVA",ROUND(G170*(1+H170/100),2))))</f>
        <v/>
      </c>
      <c r="K170" s="27">
        <f>IF(G170="","",IF(NOT(ISNUMBER(G170)),"Revisa",IF(H170="","Falta IVA",ROUND(G170*(1+(H170+IF(H170=21,5.2,IF(H170=10,1.4,IF(H170=4,0.5,0))))/100),2))))</f>
        <v/>
      </c>
      <c r="L170" s="27">
        <f>IF(G170="","",IF(NOT(ISNUMBER(G170)),"Revisa",ROUND(ROUND(G170*(1+N($K$8)/100)/$O$7,0)*$O$7,2)))</f>
        <v/>
      </c>
      <c r="M170" s="27">
        <f>IF(G170="","",IF(NOT(ISNUMBER(G170)),"Revisa",ROUND(ROUND(G170*(1+N($K$9)/100)/$O$7,0)*$O$7,2)))</f>
        <v/>
      </c>
      <c r="N170" s="27">
        <f>IF(G170="","",IF(NOT(ISNUMBER(G170)),"Revisa",ROUND(ROUND(G170*(1+N($K$10)/100)/$O$7,0)*$O$7,2)))</f>
        <v/>
      </c>
      <c r="O170">
        <f>IF(B170="","",MAX($O$12:O169)+1)</f>
        <v/>
      </c>
      <c r="P170">
        <f>IF(AND(B170="",G170&lt;&gt;""),1,0)</f>
        <v/>
      </c>
    </row>
    <row r="171">
      <c r="A171" s="21" t="n"/>
      <c r="B171" s="21" t="n"/>
      <c r="C171" s="21" t="n"/>
      <c r="D171" s="22" t="n"/>
      <c r="E171" s="21" t="n"/>
      <c r="F171" s="23" t="n"/>
      <c r="G171" s="24" t="n"/>
      <c r="H171" s="25" t="n"/>
      <c r="I171" s="26">
        <f>IF(OR(NOT(ISNUMBER(G171)),N(D171)&lt;=1),"",ROUND(G171/D171,3))</f>
        <v/>
      </c>
      <c r="J171" s="27">
        <f>IF(G171="","",IF(NOT(ISNUMBER(G171)),"Revisa",IF(H171="","Falta IVA",ROUND(G171*(1+H171/100),2))))</f>
        <v/>
      </c>
      <c r="K171" s="27">
        <f>IF(G171="","",IF(NOT(ISNUMBER(G171)),"Revisa",IF(H171="","Falta IVA",ROUND(G171*(1+(H171+IF(H171=21,5.2,IF(H171=10,1.4,IF(H171=4,0.5,0))))/100),2))))</f>
        <v/>
      </c>
      <c r="L171" s="27">
        <f>IF(G171="","",IF(NOT(ISNUMBER(G171)),"Revisa",ROUND(ROUND(G171*(1+N($K$8)/100)/$O$7,0)*$O$7,2)))</f>
        <v/>
      </c>
      <c r="M171" s="27">
        <f>IF(G171="","",IF(NOT(ISNUMBER(G171)),"Revisa",ROUND(ROUND(G171*(1+N($K$9)/100)/$O$7,0)*$O$7,2)))</f>
        <v/>
      </c>
      <c r="N171" s="27">
        <f>IF(G171="","",IF(NOT(ISNUMBER(G171)),"Revisa",ROUND(ROUND(G171*(1+N($K$10)/100)/$O$7,0)*$O$7,2)))</f>
        <v/>
      </c>
      <c r="O171">
        <f>IF(B171="","",MAX($O$12:O170)+1)</f>
        <v/>
      </c>
      <c r="P171">
        <f>IF(AND(B171="",G171&lt;&gt;""),1,0)</f>
        <v/>
      </c>
    </row>
    <row r="172">
      <c r="A172" s="21" t="n"/>
      <c r="B172" s="21" t="n"/>
      <c r="C172" s="21" t="n"/>
      <c r="D172" s="22" t="n"/>
      <c r="E172" s="21" t="n"/>
      <c r="F172" s="23" t="n"/>
      <c r="G172" s="24" t="n"/>
      <c r="H172" s="25" t="n"/>
      <c r="I172" s="26">
        <f>IF(OR(NOT(ISNUMBER(G172)),N(D172)&lt;=1),"",ROUND(G172/D172,3))</f>
        <v/>
      </c>
      <c r="J172" s="27">
        <f>IF(G172="","",IF(NOT(ISNUMBER(G172)),"Revisa",IF(H172="","Falta IVA",ROUND(G172*(1+H172/100),2))))</f>
        <v/>
      </c>
      <c r="K172" s="27">
        <f>IF(G172="","",IF(NOT(ISNUMBER(G172)),"Revisa",IF(H172="","Falta IVA",ROUND(G172*(1+(H172+IF(H172=21,5.2,IF(H172=10,1.4,IF(H172=4,0.5,0))))/100),2))))</f>
        <v/>
      </c>
      <c r="L172" s="27">
        <f>IF(G172="","",IF(NOT(ISNUMBER(G172)),"Revisa",ROUND(ROUND(G172*(1+N($K$8)/100)/$O$7,0)*$O$7,2)))</f>
        <v/>
      </c>
      <c r="M172" s="27">
        <f>IF(G172="","",IF(NOT(ISNUMBER(G172)),"Revisa",ROUND(ROUND(G172*(1+N($K$9)/100)/$O$7,0)*$O$7,2)))</f>
        <v/>
      </c>
      <c r="N172" s="27">
        <f>IF(G172="","",IF(NOT(ISNUMBER(G172)),"Revisa",ROUND(ROUND(G172*(1+N($K$10)/100)/$O$7,0)*$O$7,2)))</f>
        <v/>
      </c>
      <c r="O172">
        <f>IF(B172="","",MAX($O$12:O171)+1)</f>
        <v/>
      </c>
      <c r="P172">
        <f>IF(AND(B172="",G172&lt;&gt;""),1,0)</f>
        <v/>
      </c>
    </row>
    <row r="173">
      <c r="A173" s="21" t="n"/>
      <c r="B173" s="21" t="n"/>
      <c r="C173" s="21" t="n"/>
      <c r="D173" s="22" t="n"/>
      <c r="E173" s="21" t="n"/>
      <c r="F173" s="23" t="n"/>
      <c r="G173" s="24" t="n"/>
      <c r="H173" s="25" t="n"/>
      <c r="I173" s="26">
        <f>IF(OR(NOT(ISNUMBER(G173)),N(D173)&lt;=1),"",ROUND(G173/D173,3))</f>
        <v/>
      </c>
      <c r="J173" s="27">
        <f>IF(G173="","",IF(NOT(ISNUMBER(G173)),"Revisa",IF(H173="","Falta IVA",ROUND(G173*(1+H173/100),2))))</f>
        <v/>
      </c>
      <c r="K173" s="27">
        <f>IF(G173="","",IF(NOT(ISNUMBER(G173)),"Revisa",IF(H173="","Falta IVA",ROUND(G173*(1+(H173+IF(H173=21,5.2,IF(H173=10,1.4,IF(H173=4,0.5,0))))/100),2))))</f>
        <v/>
      </c>
      <c r="L173" s="27">
        <f>IF(G173="","",IF(NOT(ISNUMBER(G173)),"Revisa",ROUND(ROUND(G173*(1+N($K$8)/100)/$O$7,0)*$O$7,2)))</f>
        <v/>
      </c>
      <c r="M173" s="27">
        <f>IF(G173="","",IF(NOT(ISNUMBER(G173)),"Revisa",ROUND(ROUND(G173*(1+N($K$9)/100)/$O$7,0)*$O$7,2)))</f>
        <v/>
      </c>
      <c r="N173" s="27">
        <f>IF(G173="","",IF(NOT(ISNUMBER(G173)),"Revisa",ROUND(ROUND(G173*(1+N($K$10)/100)/$O$7,0)*$O$7,2)))</f>
        <v/>
      </c>
      <c r="O173">
        <f>IF(B173="","",MAX($O$12:O172)+1)</f>
        <v/>
      </c>
      <c r="P173">
        <f>IF(AND(B173="",G173&lt;&gt;""),1,0)</f>
        <v/>
      </c>
    </row>
    <row r="174">
      <c r="A174" s="21" t="n"/>
      <c r="B174" s="21" t="n"/>
      <c r="C174" s="21" t="n"/>
      <c r="D174" s="22" t="n"/>
      <c r="E174" s="21" t="n"/>
      <c r="F174" s="23" t="n"/>
      <c r="G174" s="24" t="n"/>
      <c r="H174" s="25" t="n"/>
      <c r="I174" s="26">
        <f>IF(OR(NOT(ISNUMBER(G174)),N(D174)&lt;=1),"",ROUND(G174/D174,3))</f>
        <v/>
      </c>
      <c r="J174" s="27">
        <f>IF(G174="","",IF(NOT(ISNUMBER(G174)),"Revisa",IF(H174="","Falta IVA",ROUND(G174*(1+H174/100),2))))</f>
        <v/>
      </c>
      <c r="K174" s="27">
        <f>IF(G174="","",IF(NOT(ISNUMBER(G174)),"Revisa",IF(H174="","Falta IVA",ROUND(G174*(1+(H174+IF(H174=21,5.2,IF(H174=10,1.4,IF(H174=4,0.5,0))))/100),2))))</f>
        <v/>
      </c>
      <c r="L174" s="27">
        <f>IF(G174="","",IF(NOT(ISNUMBER(G174)),"Revisa",ROUND(ROUND(G174*(1+N($K$8)/100)/$O$7,0)*$O$7,2)))</f>
        <v/>
      </c>
      <c r="M174" s="27">
        <f>IF(G174="","",IF(NOT(ISNUMBER(G174)),"Revisa",ROUND(ROUND(G174*(1+N($K$9)/100)/$O$7,0)*$O$7,2)))</f>
        <v/>
      </c>
      <c r="N174" s="27">
        <f>IF(G174="","",IF(NOT(ISNUMBER(G174)),"Revisa",ROUND(ROUND(G174*(1+N($K$10)/100)/$O$7,0)*$O$7,2)))</f>
        <v/>
      </c>
      <c r="O174">
        <f>IF(B174="","",MAX($O$12:O173)+1)</f>
        <v/>
      </c>
      <c r="P174">
        <f>IF(AND(B174="",G174&lt;&gt;""),1,0)</f>
        <v/>
      </c>
    </row>
    <row r="175">
      <c r="A175" s="21" t="n"/>
      <c r="B175" s="21" t="n"/>
      <c r="C175" s="21" t="n"/>
      <c r="D175" s="22" t="n"/>
      <c r="E175" s="21" t="n"/>
      <c r="F175" s="23" t="n"/>
      <c r="G175" s="24" t="n"/>
      <c r="H175" s="25" t="n"/>
      <c r="I175" s="26">
        <f>IF(OR(NOT(ISNUMBER(G175)),N(D175)&lt;=1),"",ROUND(G175/D175,3))</f>
        <v/>
      </c>
      <c r="J175" s="27">
        <f>IF(G175="","",IF(NOT(ISNUMBER(G175)),"Revisa",IF(H175="","Falta IVA",ROUND(G175*(1+H175/100),2))))</f>
        <v/>
      </c>
      <c r="K175" s="27">
        <f>IF(G175="","",IF(NOT(ISNUMBER(G175)),"Revisa",IF(H175="","Falta IVA",ROUND(G175*(1+(H175+IF(H175=21,5.2,IF(H175=10,1.4,IF(H175=4,0.5,0))))/100),2))))</f>
        <v/>
      </c>
      <c r="L175" s="27">
        <f>IF(G175="","",IF(NOT(ISNUMBER(G175)),"Revisa",ROUND(ROUND(G175*(1+N($K$8)/100)/$O$7,0)*$O$7,2)))</f>
        <v/>
      </c>
      <c r="M175" s="27">
        <f>IF(G175="","",IF(NOT(ISNUMBER(G175)),"Revisa",ROUND(ROUND(G175*(1+N($K$9)/100)/$O$7,0)*$O$7,2)))</f>
        <v/>
      </c>
      <c r="N175" s="27">
        <f>IF(G175="","",IF(NOT(ISNUMBER(G175)),"Revisa",ROUND(ROUND(G175*(1+N($K$10)/100)/$O$7,0)*$O$7,2)))</f>
        <v/>
      </c>
      <c r="O175">
        <f>IF(B175="","",MAX($O$12:O174)+1)</f>
        <v/>
      </c>
      <c r="P175">
        <f>IF(AND(B175="",G175&lt;&gt;""),1,0)</f>
        <v/>
      </c>
    </row>
    <row r="176">
      <c r="A176" s="21" t="n"/>
      <c r="B176" s="21" t="n"/>
      <c r="C176" s="21" t="n"/>
      <c r="D176" s="22" t="n"/>
      <c r="E176" s="21" t="n"/>
      <c r="F176" s="23" t="n"/>
      <c r="G176" s="24" t="n"/>
      <c r="H176" s="25" t="n"/>
      <c r="I176" s="26">
        <f>IF(OR(NOT(ISNUMBER(G176)),N(D176)&lt;=1),"",ROUND(G176/D176,3))</f>
        <v/>
      </c>
      <c r="J176" s="27">
        <f>IF(G176="","",IF(NOT(ISNUMBER(G176)),"Revisa",IF(H176="","Falta IVA",ROUND(G176*(1+H176/100),2))))</f>
        <v/>
      </c>
      <c r="K176" s="27">
        <f>IF(G176="","",IF(NOT(ISNUMBER(G176)),"Revisa",IF(H176="","Falta IVA",ROUND(G176*(1+(H176+IF(H176=21,5.2,IF(H176=10,1.4,IF(H176=4,0.5,0))))/100),2))))</f>
        <v/>
      </c>
      <c r="L176" s="27">
        <f>IF(G176="","",IF(NOT(ISNUMBER(G176)),"Revisa",ROUND(ROUND(G176*(1+N($K$8)/100)/$O$7,0)*$O$7,2)))</f>
        <v/>
      </c>
      <c r="M176" s="27">
        <f>IF(G176="","",IF(NOT(ISNUMBER(G176)),"Revisa",ROUND(ROUND(G176*(1+N($K$9)/100)/$O$7,0)*$O$7,2)))</f>
        <v/>
      </c>
      <c r="N176" s="27">
        <f>IF(G176="","",IF(NOT(ISNUMBER(G176)),"Revisa",ROUND(ROUND(G176*(1+N($K$10)/100)/$O$7,0)*$O$7,2)))</f>
        <v/>
      </c>
      <c r="O176">
        <f>IF(B176="","",MAX($O$12:O175)+1)</f>
        <v/>
      </c>
      <c r="P176">
        <f>IF(AND(B176="",G176&lt;&gt;""),1,0)</f>
        <v/>
      </c>
    </row>
    <row r="177">
      <c r="A177" s="21" t="n"/>
      <c r="B177" s="21" t="n"/>
      <c r="C177" s="21" t="n"/>
      <c r="D177" s="22" t="n"/>
      <c r="E177" s="21" t="n"/>
      <c r="F177" s="23" t="n"/>
      <c r="G177" s="24" t="n"/>
      <c r="H177" s="25" t="n"/>
      <c r="I177" s="26">
        <f>IF(OR(NOT(ISNUMBER(G177)),N(D177)&lt;=1),"",ROUND(G177/D177,3))</f>
        <v/>
      </c>
      <c r="J177" s="27">
        <f>IF(G177="","",IF(NOT(ISNUMBER(G177)),"Revisa",IF(H177="","Falta IVA",ROUND(G177*(1+H177/100),2))))</f>
        <v/>
      </c>
      <c r="K177" s="27">
        <f>IF(G177="","",IF(NOT(ISNUMBER(G177)),"Revisa",IF(H177="","Falta IVA",ROUND(G177*(1+(H177+IF(H177=21,5.2,IF(H177=10,1.4,IF(H177=4,0.5,0))))/100),2))))</f>
        <v/>
      </c>
      <c r="L177" s="27">
        <f>IF(G177="","",IF(NOT(ISNUMBER(G177)),"Revisa",ROUND(ROUND(G177*(1+N($K$8)/100)/$O$7,0)*$O$7,2)))</f>
        <v/>
      </c>
      <c r="M177" s="27">
        <f>IF(G177="","",IF(NOT(ISNUMBER(G177)),"Revisa",ROUND(ROUND(G177*(1+N($K$9)/100)/$O$7,0)*$O$7,2)))</f>
        <v/>
      </c>
      <c r="N177" s="27">
        <f>IF(G177="","",IF(NOT(ISNUMBER(G177)),"Revisa",ROUND(ROUND(G177*(1+N($K$10)/100)/$O$7,0)*$O$7,2)))</f>
        <v/>
      </c>
      <c r="O177">
        <f>IF(B177="","",MAX($O$12:O176)+1)</f>
        <v/>
      </c>
      <c r="P177">
        <f>IF(AND(B177="",G177&lt;&gt;""),1,0)</f>
        <v/>
      </c>
    </row>
    <row r="178">
      <c r="A178" s="21" t="n"/>
      <c r="B178" s="21" t="n"/>
      <c r="C178" s="21" t="n"/>
      <c r="D178" s="22" t="n"/>
      <c r="E178" s="21" t="n"/>
      <c r="F178" s="23" t="n"/>
      <c r="G178" s="24" t="n"/>
      <c r="H178" s="25" t="n"/>
      <c r="I178" s="26">
        <f>IF(OR(NOT(ISNUMBER(G178)),N(D178)&lt;=1),"",ROUND(G178/D178,3))</f>
        <v/>
      </c>
      <c r="J178" s="27">
        <f>IF(G178="","",IF(NOT(ISNUMBER(G178)),"Revisa",IF(H178="","Falta IVA",ROUND(G178*(1+H178/100),2))))</f>
        <v/>
      </c>
      <c r="K178" s="27">
        <f>IF(G178="","",IF(NOT(ISNUMBER(G178)),"Revisa",IF(H178="","Falta IVA",ROUND(G178*(1+(H178+IF(H178=21,5.2,IF(H178=10,1.4,IF(H178=4,0.5,0))))/100),2))))</f>
        <v/>
      </c>
      <c r="L178" s="27">
        <f>IF(G178="","",IF(NOT(ISNUMBER(G178)),"Revisa",ROUND(ROUND(G178*(1+N($K$8)/100)/$O$7,0)*$O$7,2)))</f>
        <v/>
      </c>
      <c r="M178" s="27">
        <f>IF(G178="","",IF(NOT(ISNUMBER(G178)),"Revisa",ROUND(ROUND(G178*(1+N($K$9)/100)/$O$7,0)*$O$7,2)))</f>
        <v/>
      </c>
      <c r="N178" s="27">
        <f>IF(G178="","",IF(NOT(ISNUMBER(G178)),"Revisa",ROUND(ROUND(G178*(1+N($K$10)/100)/$O$7,0)*$O$7,2)))</f>
        <v/>
      </c>
      <c r="O178">
        <f>IF(B178="","",MAX($O$12:O177)+1)</f>
        <v/>
      </c>
      <c r="P178">
        <f>IF(AND(B178="",G178&lt;&gt;""),1,0)</f>
        <v/>
      </c>
    </row>
    <row r="179">
      <c r="A179" s="21" t="n"/>
      <c r="B179" s="21" t="n"/>
      <c r="C179" s="21" t="n"/>
      <c r="D179" s="22" t="n"/>
      <c r="E179" s="21" t="n"/>
      <c r="F179" s="23" t="n"/>
      <c r="G179" s="24" t="n"/>
      <c r="H179" s="25" t="n"/>
      <c r="I179" s="26">
        <f>IF(OR(NOT(ISNUMBER(G179)),N(D179)&lt;=1),"",ROUND(G179/D179,3))</f>
        <v/>
      </c>
      <c r="J179" s="27">
        <f>IF(G179="","",IF(NOT(ISNUMBER(G179)),"Revisa",IF(H179="","Falta IVA",ROUND(G179*(1+H179/100),2))))</f>
        <v/>
      </c>
      <c r="K179" s="27">
        <f>IF(G179="","",IF(NOT(ISNUMBER(G179)),"Revisa",IF(H179="","Falta IVA",ROUND(G179*(1+(H179+IF(H179=21,5.2,IF(H179=10,1.4,IF(H179=4,0.5,0))))/100),2))))</f>
        <v/>
      </c>
      <c r="L179" s="27">
        <f>IF(G179="","",IF(NOT(ISNUMBER(G179)),"Revisa",ROUND(ROUND(G179*(1+N($K$8)/100)/$O$7,0)*$O$7,2)))</f>
        <v/>
      </c>
      <c r="M179" s="27">
        <f>IF(G179="","",IF(NOT(ISNUMBER(G179)),"Revisa",ROUND(ROUND(G179*(1+N($K$9)/100)/$O$7,0)*$O$7,2)))</f>
        <v/>
      </c>
      <c r="N179" s="27">
        <f>IF(G179="","",IF(NOT(ISNUMBER(G179)),"Revisa",ROUND(ROUND(G179*(1+N($K$10)/100)/$O$7,0)*$O$7,2)))</f>
        <v/>
      </c>
      <c r="O179">
        <f>IF(B179="","",MAX($O$12:O178)+1)</f>
        <v/>
      </c>
      <c r="P179">
        <f>IF(AND(B179="",G179&lt;&gt;""),1,0)</f>
        <v/>
      </c>
    </row>
    <row r="180">
      <c r="A180" s="21" t="n"/>
      <c r="B180" s="21" t="n"/>
      <c r="C180" s="21" t="n"/>
      <c r="D180" s="22" t="n"/>
      <c r="E180" s="21" t="n"/>
      <c r="F180" s="23" t="n"/>
      <c r="G180" s="24" t="n"/>
      <c r="H180" s="25" t="n"/>
      <c r="I180" s="26">
        <f>IF(OR(NOT(ISNUMBER(G180)),N(D180)&lt;=1),"",ROUND(G180/D180,3))</f>
        <v/>
      </c>
      <c r="J180" s="27">
        <f>IF(G180="","",IF(NOT(ISNUMBER(G180)),"Revisa",IF(H180="","Falta IVA",ROUND(G180*(1+H180/100),2))))</f>
        <v/>
      </c>
      <c r="K180" s="27">
        <f>IF(G180="","",IF(NOT(ISNUMBER(G180)),"Revisa",IF(H180="","Falta IVA",ROUND(G180*(1+(H180+IF(H180=21,5.2,IF(H180=10,1.4,IF(H180=4,0.5,0))))/100),2))))</f>
        <v/>
      </c>
      <c r="L180" s="27">
        <f>IF(G180="","",IF(NOT(ISNUMBER(G180)),"Revisa",ROUND(ROUND(G180*(1+N($K$8)/100)/$O$7,0)*$O$7,2)))</f>
        <v/>
      </c>
      <c r="M180" s="27">
        <f>IF(G180="","",IF(NOT(ISNUMBER(G180)),"Revisa",ROUND(ROUND(G180*(1+N($K$9)/100)/$O$7,0)*$O$7,2)))</f>
        <v/>
      </c>
      <c r="N180" s="27">
        <f>IF(G180="","",IF(NOT(ISNUMBER(G180)),"Revisa",ROUND(ROUND(G180*(1+N($K$10)/100)/$O$7,0)*$O$7,2)))</f>
        <v/>
      </c>
      <c r="O180">
        <f>IF(B180="","",MAX($O$12:O179)+1)</f>
        <v/>
      </c>
      <c r="P180">
        <f>IF(AND(B180="",G180&lt;&gt;""),1,0)</f>
        <v/>
      </c>
    </row>
    <row r="181">
      <c r="A181" s="21" t="n"/>
      <c r="B181" s="21" t="n"/>
      <c r="C181" s="21" t="n"/>
      <c r="D181" s="22" t="n"/>
      <c r="E181" s="21" t="n"/>
      <c r="F181" s="23" t="n"/>
      <c r="G181" s="24" t="n"/>
      <c r="H181" s="25" t="n"/>
      <c r="I181" s="26">
        <f>IF(OR(NOT(ISNUMBER(G181)),N(D181)&lt;=1),"",ROUND(G181/D181,3))</f>
        <v/>
      </c>
      <c r="J181" s="27">
        <f>IF(G181="","",IF(NOT(ISNUMBER(G181)),"Revisa",IF(H181="","Falta IVA",ROUND(G181*(1+H181/100),2))))</f>
        <v/>
      </c>
      <c r="K181" s="27">
        <f>IF(G181="","",IF(NOT(ISNUMBER(G181)),"Revisa",IF(H181="","Falta IVA",ROUND(G181*(1+(H181+IF(H181=21,5.2,IF(H181=10,1.4,IF(H181=4,0.5,0))))/100),2))))</f>
        <v/>
      </c>
      <c r="L181" s="27">
        <f>IF(G181="","",IF(NOT(ISNUMBER(G181)),"Revisa",ROUND(ROUND(G181*(1+N($K$8)/100)/$O$7,0)*$O$7,2)))</f>
        <v/>
      </c>
      <c r="M181" s="27">
        <f>IF(G181="","",IF(NOT(ISNUMBER(G181)),"Revisa",ROUND(ROUND(G181*(1+N($K$9)/100)/$O$7,0)*$O$7,2)))</f>
        <v/>
      </c>
      <c r="N181" s="27">
        <f>IF(G181="","",IF(NOT(ISNUMBER(G181)),"Revisa",ROUND(ROUND(G181*(1+N($K$10)/100)/$O$7,0)*$O$7,2)))</f>
        <v/>
      </c>
      <c r="O181">
        <f>IF(B181="","",MAX($O$12:O180)+1)</f>
        <v/>
      </c>
      <c r="P181">
        <f>IF(AND(B181="",G181&lt;&gt;""),1,0)</f>
        <v/>
      </c>
    </row>
    <row r="182">
      <c r="A182" s="21" t="n"/>
      <c r="B182" s="21" t="n"/>
      <c r="C182" s="21" t="n"/>
      <c r="D182" s="22" t="n"/>
      <c r="E182" s="21" t="n"/>
      <c r="F182" s="23" t="n"/>
      <c r="G182" s="24" t="n"/>
      <c r="H182" s="25" t="n"/>
      <c r="I182" s="26">
        <f>IF(OR(NOT(ISNUMBER(G182)),N(D182)&lt;=1),"",ROUND(G182/D182,3))</f>
        <v/>
      </c>
      <c r="J182" s="27">
        <f>IF(G182="","",IF(NOT(ISNUMBER(G182)),"Revisa",IF(H182="","Falta IVA",ROUND(G182*(1+H182/100),2))))</f>
        <v/>
      </c>
      <c r="K182" s="27">
        <f>IF(G182="","",IF(NOT(ISNUMBER(G182)),"Revisa",IF(H182="","Falta IVA",ROUND(G182*(1+(H182+IF(H182=21,5.2,IF(H182=10,1.4,IF(H182=4,0.5,0))))/100),2))))</f>
        <v/>
      </c>
      <c r="L182" s="27">
        <f>IF(G182="","",IF(NOT(ISNUMBER(G182)),"Revisa",ROUND(ROUND(G182*(1+N($K$8)/100)/$O$7,0)*$O$7,2)))</f>
        <v/>
      </c>
      <c r="M182" s="27">
        <f>IF(G182="","",IF(NOT(ISNUMBER(G182)),"Revisa",ROUND(ROUND(G182*(1+N($K$9)/100)/$O$7,0)*$O$7,2)))</f>
        <v/>
      </c>
      <c r="N182" s="27">
        <f>IF(G182="","",IF(NOT(ISNUMBER(G182)),"Revisa",ROUND(ROUND(G182*(1+N($K$10)/100)/$O$7,0)*$O$7,2)))</f>
        <v/>
      </c>
      <c r="O182">
        <f>IF(B182="","",MAX($O$12:O181)+1)</f>
        <v/>
      </c>
      <c r="P182">
        <f>IF(AND(B182="",G182&lt;&gt;""),1,0)</f>
        <v/>
      </c>
    </row>
    <row r="183">
      <c r="A183" s="21" t="n"/>
      <c r="B183" s="21" t="n"/>
      <c r="C183" s="21" t="n"/>
      <c r="D183" s="22" t="n"/>
      <c r="E183" s="21" t="n"/>
      <c r="F183" s="23" t="n"/>
      <c r="G183" s="24" t="n"/>
      <c r="H183" s="25" t="n"/>
      <c r="I183" s="26">
        <f>IF(OR(NOT(ISNUMBER(G183)),N(D183)&lt;=1),"",ROUND(G183/D183,3))</f>
        <v/>
      </c>
      <c r="J183" s="27">
        <f>IF(G183="","",IF(NOT(ISNUMBER(G183)),"Revisa",IF(H183="","Falta IVA",ROUND(G183*(1+H183/100),2))))</f>
        <v/>
      </c>
      <c r="K183" s="27">
        <f>IF(G183="","",IF(NOT(ISNUMBER(G183)),"Revisa",IF(H183="","Falta IVA",ROUND(G183*(1+(H183+IF(H183=21,5.2,IF(H183=10,1.4,IF(H183=4,0.5,0))))/100),2))))</f>
        <v/>
      </c>
      <c r="L183" s="27">
        <f>IF(G183="","",IF(NOT(ISNUMBER(G183)),"Revisa",ROUND(ROUND(G183*(1+N($K$8)/100)/$O$7,0)*$O$7,2)))</f>
        <v/>
      </c>
      <c r="M183" s="27">
        <f>IF(G183="","",IF(NOT(ISNUMBER(G183)),"Revisa",ROUND(ROUND(G183*(1+N($K$9)/100)/$O$7,0)*$O$7,2)))</f>
        <v/>
      </c>
      <c r="N183" s="27">
        <f>IF(G183="","",IF(NOT(ISNUMBER(G183)),"Revisa",ROUND(ROUND(G183*(1+N($K$10)/100)/$O$7,0)*$O$7,2)))</f>
        <v/>
      </c>
      <c r="O183">
        <f>IF(B183="","",MAX($O$12:O182)+1)</f>
        <v/>
      </c>
      <c r="P183">
        <f>IF(AND(B183="",G183&lt;&gt;""),1,0)</f>
        <v/>
      </c>
    </row>
    <row r="184">
      <c r="A184" s="21" t="n"/>
      <c r="B184" s="21" t="n"/>
      <c r="C184" s="21" t="n"/>
      <c r="D184" s="22" t="n"/>
      <c r="E184" s="21" t="n"/>
      <c r="F184" s="23" t="n"/>
      <c r="G184" s="24" t="n"/>
      <c r="H184" s="25" t="n"/>
      <c r="I184" s="26">
        <f>IF(OR(NOT(ISNUMBER(G184)),N(D184)&lt;=1),"",ROUND(G184/D184,3))</f>
        <v/>
      </c>
      <c r="J184" s="27">
        <f>IF(G184="","",IF(NOT(ISNUMBER(G184)),"Revisa",IF(H184="","Falta IVA",ROUND(G184*(1+H184/100),2))))</f>
        <v/>
      </c>
      <c r="K184" s="27">
        <f>IF(G184="","",IF(NOT(ISNUMBER(G184)),"Revisa",IF(H184="","Falta IVA",ROUND(G184*(1+(H184+IF(H184=21,5.2,IF(H184=10,1.4,IF(H184=4,0.5,0))))/100),2))))</f>
        <v/>
      </c>
      <c r="L184" s="27">
        <f>IF(G184="","",IF(NOT(ISNUMBER(G184)),"Revisa",ROUND(ROUND(G184*(1+N($K$8)/100)/$O$7,0)*$O$7,2)))</f>
        <v/>
      </c>
      <c r="M184" s="27">
        <f>IF(G184="","",IF(NOT(ISNUMBER(G184)),"Revisa",ROUND(ROUND(G184*(1+N($K$9)/100)/$O$7,0)*$O$7,2)))</f>
        <v/>
      </c>
      <c r="N184" s="27">
        <f>IF(G184="","",IF(NOT(ISNUMBER(G184)),"Revisa",ROUND(ROUND(G184*(1+N($K$10)/100)/$O$7,0)*$O$7,2)))</f>
        <v/>
      </c>
      <c r="O184">
        <f>IF(B184="","",MAX($O$12:O183)+1)</f>
        <v/>
      </c>
      <c r="P184">
        <f>IF(AND(B184="",G184&lt;&gt;""),1,0)</f>
        <v/>
      </c>
    </row>
    <row r="185">
      <c r="A185" s="21" t="n"/>
      <c r="B185" s="21" t="n"/>
      <c r="C185" s="21" t="n"/>
      <c r="D185" s="22" t="n"/>
      <c r="E185" s="21" t="n"/>
      <c r="F185" s="23" t="n"/>
      <c r="G185" s="24" t="n"/>
      <c r="H185" s="25" t="n"/>
      <c r="I185" s="26">
        <f>IF(OR(NOT(ISNUMBER(G185)),N(D185)&lt;=1),"",ROUND(G185/D185,3))</f>
        <v/>
      </c>
      <c r="J185" s="27">
        <f>IF(G185="","",IF(NOT(ISNUMBER(G185)),"Revisa",IF(H185="","Falta IVA",ROUND(G185*(1+H185/100),2))))</f>
        <v/>
      </c>
      <c r="K185" s="27">
        <f>IF(G185="","",IF(NOT(ISNUMBER(G185)),"Revisa",IF(H185="","Falta IVA",ROUND(G185*(1+(H185+IF(H185=21,5.2,IF(H185=10,1.4,IF(H185=4,0.5,0))))/100),2))))</f>
        <v/>
      </c>
      <c r="L185" s="27">
        <f>IF(G185="","",IF(NOT(ISNUMBER(G185)),"Revisa",ROUND(ROUND(G185*(1+N($K$8)/100)/$O$7,0)*$O$7,2)))</f>
        <v/>
      </c>
      <c r="M185" s="27">
        <f>IF(G185="","",IF(NOT(ISNUMBER(G185)),"Revisa",ROUND(ROUND(G185*(1+N($K$9)/100)/$O$7,0)*$O$7,2)))</f>
        <v/>
      </c>
      <c r="N185" s="27">
        <f>IF(G185="","",IF(NOT(ISNUMBER(G185)),"Revisa",ROUND(ROUND(G185*(1+N($K$10)/100)/$O$7,0)*$O$7,2)))</f>
        <v/>
      </c>
      <c r="O185">
        <f>IF(B185="","",MAX($O$12:O184)+1)</f>
        <v/>
      </c>
      <c r="P185">
        <f>IF(AND(B185="",G185&lt;&gt;""),1,0)</f>
        <v/>
      </c>
    </row>
    <row r="186">
      <c r="A186" s="21" t="n"/>
      <c r="B186" s="21" t="n"/>
      <c r="C186" s="21" t="n"/>
      <c r="D186" s="22" t="n"/>
      <c r="E186" s="21" t="n"/>
      <c r="F186" s="23" t="n"/>
      <c r="G186" s="24" t="n"/>
      <c r="H186" s="25" t="n"/>
      <c r="I186" s="26">
        <f>IF(OR(NOT(ISNUMBER(G186)),N(D186)&lt;=1),"",ROUND(G186/D186,3))</f>
        <v/>
      </c>
      <c r="J186" s="27">
        <f>IF(G186="","",IF(NOT(ISNUMBER(G186)),"Revisa",IF(H186="","Falta IVA",ROUND(G186*(1+H186/100),2))))</f>
        <v/>
      </c>
      <c r="K186" s="27">
        <f>IF(G186="","",IF(NOT(ISNUMBER(G186)),"Revisa",IF(H186="","Falta IVA",ROUND(G186*(1+(H186+IF(H186=21,5.2,IF(H186=10,1.4,IF(H186=4,0.5,0))))/100),2))))</f>
        <v/>
      </c>
      <c r="L186" s="27">
        <f>IF(G186="","",IF(NOT(ISNUMBER(G186)),"Revisa",ROUND(ROUND(G186*(1+N($K$8)/100)/$O$7,0)*$O$7,2)))</f>
        <v/>
      </c>
      <c r="M186" s="27">
        <f>IF(G186="","",IF(NOT(ISNUMBER(G186)),"Revisa",ROUND(ROUND(G186*(1+N($K$9)/100)/$O$7,0)*$O$7,2)))</f>
        <v/>
      </c>
      <c r="N186" s="27">
        <f>IF(G186="","",IF(NOT(ISNUMBER(G186)),"Revisa",ROUND(ROUND(G186*(1+N($K$10)/100)/$O$7,0)*$O$7,2)))</f>
        <v/>
      </c>
      <c r="O186">
        <f>IF(B186="","",MAX($O$12:O185)+1)</f>
        <v/>
      </c>
      <c r="P186">
        <f>IF(AND(B186="",G186&lt;&gt;""),1,0)</f>
        <v/>
      </c>
    </row>
    <row r="187">
      <c r="A187" s="21" t="n"/>
      <c r="B187" s="21" t="n"/>
      <c r="C187" s="21" t="n"/>
      <c r="D187" s="22" t="n"/>
      <c r="E187" s="21" t="n"/>
      <c r="F187" s="23" t="n"/>
      <c r="G187" s="24" t="n"/>
      <c r="H187" s="25" t="n"/>
      <c r="I187" s="26">
        <f>IF(OR(NOT(ISNUMBER(G187)),N(D187)&lt;=1),"",ROUND(G187/D187,3))</f>
        <v/>
      </c>
      <c r="J187" s="27">
        <f>IF(G187="","",IF(NOT(ISNUMBER(G187)),"Revisa",IF(H187="","Falta IVA",ROUND(G187*(1+H187/100),2))))</f>
        <v/>
      </c>
      <c r="K187" s="27">
        <f>IF(G187="","",IF(NOT(ISNUMBER(G187)),"Revisa",IF(H187="","Falta IVA",ROUND(G187*(1+(H187+IF(H187=21,5.2,IF(H187=10,1.4,IF(H187=4,0.5,0))))/100),2))))</f>
        <v/>
      </c>
      <c r="L187" s="27">
        <f>IF(G187="","",IF(NOT(ISNUMBER(G187)),"Revisa",ROUND(ROUND(G187*(1+N($K$8)/100)/$O$7,0)*$O$7,2)))</f>
        <v/>
      </c>
      <c r="M187" s="27">
        <f>IF(G187="","",IF(NOT(ISNUMBER(G187)),"Revisa",ROUND(ROUND(G187*(1+N($K$9)/100)/$O$7,0)*$O$7,2)))</f>
        <v/>
      </c>
      <c r="N187" s="27">
        <f>IF(G187="","",IF(NOT(ISNUMBER(G187)),"Revisa",ROUND(ROUND(G187*(1+N($K$10)/100)/$O$7,0)*$O$7,2)))</f>
        <v/>
      </c>
      <c r="O187">
        <f>IF(B187="","",MAX($O$12:O186)+1)</f>
        <v/>
      </c>
      <c r="P187">
        <f>IF(AND(B187="",G187&lt;&gt;""),1,0)</f>
        <v/>
      </c>
    </row>
    <row r="188">
      <c r="A188" s="21" t="n"/>
      <c r="B188" s="21" t="n"/>
      <c r="C188" s="21" t="n"/>
      <c r="D188" s="22" t="n"/>
      <c r="E188" s="21" t="n"/>
      <c r="F188" s="23" t="n"/>
      <c r="G188" s="24" t="n"/>
      <c r="H188" s="25" t="n"/>
      <c r="I188" s="26">
        <f>IF(OR(NOT(ISNUMBER(G188)),N(D188)&lt;=1),"",ROUND(G188/D188,3))</f>
        <v/>
      </c>
      <c r="J188" s="27">
        <f>IF(G188="","",IF(NOT(ISNUMBER(G188)),"Revisa",IF(H188="","Falta IVA",ROUND(G188*(1+H188/100),2))))</f>
        <v/>
      </c>
      <c r="K188" s="27">
        <f>IF(G188="","",IF(NOT(ISNUMBER(G188)),"Revisa",IF(H188="","Falta IVA",ROUND(G188*(1+(H188+IF(H188=21,5.2,IF(H188=10,1.4,IF(H188=4,0.5,0))))/100),2))))</f>
        <v/>
      </c>
      <c r="L188" s="27">
        <f>IF(G188="","",IF(NOT(ISNUMBER(G188)),"Revisa",ROUND(ROUND(G188*(1+N($K$8)/100)/$O$7,0)*$O$7,2)))</f>
        <v/>
      </c>
      <c r="M188" s="27">
        <f>IF(G188="","",IF(NOT(ISNUMBER(G188)),"Revisa",ROUND(ROUND(G188*(1+N($K$9)/100)/$O$7,0)*$O$7,2)))</f>
        <v/>
      </c>
      <c r="N188" s="27">
        <f>IF(G188="","",IF(NOT(ISNUMBER(G188)),"Revisa",ROUND(ROUND(G188*(1+N($K$10)/100)/$O$7,0)*$O$7,2)))</f>
        <v/>
      </c>
      <c r="O188">
        <f>IF(B188="","",MAX($O$12:O187)+1)</f>
        <v/>
      </c>
      <c r="P188">
        <f>IF(AND(B188="",G188&lt;&gt;""),1,0)</f>
        <v/>
      </c>
    </row>
    <row r="189">
      <c r="A189" s="21" t="n"/>
      <c r="B189" s="21" t="n"/>
      <c r="C189" s="21" t="n"/>
      <c r="D189" s="22" t="n"/>
      <c r="E189" s="21" t="n"/>
      <c r="F189" s="23" t="n"/>
      <c r="G189" s="24" t="n"/>
      <c r="H189" s="25" t="n"/>
      <c r="I189" s="26">
        <f>IF(OR(NOT(ISNUMBER(G189)),N(D189)&lt;=1),"",ROUND(G189/D189,3))</f>
        <v/>
      </c>
      <c r="J189" s="27">
        <f>IF(G189="","",IF(NOT(ISNUMBER(G189)),"Revisa",IF(H189="","Falta IVA",ROUND(G189*(1+H189/100),2))))</f>
        <v/>
      </c>
      <c r="K189" s="27">
        <f>IF(G189="","",IF(NOT(ISNUMBER(G189)),"Revisa",IF(H189="","Falta IVA",ROUND(G189*(1+(H189+IF(H189=21,5.2,IF(H189=10,1.4,IF(H189=4,0.5,0))))/100),2))))</f>
        <v/>
      </c>
      <c r="L189" s="27">
        <f>IF(G189="","",IF(NOT(ISNUMBER(G189)),"Revisa",ROUND(ROUND(G189*(1+N($K$8)/100)/$O$7,0)*$O$7,2)))</f>
        <v/>
      </c>
      <c r="M189" s="27">
        <f>IF(G189="","",IF(NOT(ISNUMBER(G189)),"Revisa",ROUND(ROUND(G189*(1+N($K$9)/100)/$O$7,0)*$O$7,2)))</f>
        <v/>
      </c>
      <c r="N189" s="27">
        <f>IF(G189="","",IF(NOT(ISNUMBER(G189)),"Revisa",ROUND(ROUND(G189*(1+N($K$10)/100)/$O$7,0)*$O$7,2)))</f>
        <v/>
      </c>
      <c r="O189">
        <f>IF(B189="","",MAX($O$12:O188)+1)</f>
        <v/>
      </c>
      <c r="P189">
        <f>IF(AND(B189="",G189&lt;&gt;""),1,0)</f>
        <v/>
      </c>
    </row>
    <row r="190">
      <c r="A190" s="21" t="n"/>
      <c r="B190" s="21" t="n"/>
      <c r="C190" s="21" t="n"/>
      <c r="D190" s="22" t="n"/>
      <c r="E190" s="21" t="n"/>
      <c r="F190" s="23" t="n"/>
      <c r="G190" s="24" t="n"/>
      <c r="H190" s="25" t="n"/>
      <c r="I190" s="26">
        <f>IF(OR(NOT(ISNUMBER(G190)),N(D190)&lt;=1),"",ROUND(G190/D190,3))</f>
        <v/>
      </c>
      <c r="J190" s="27">
        <f>IF(G190="","",IF(NOT(ISNUMBER(G190)),"Revisa",IF(H190="","Falta IVA",ROUND(G190*(1+H190/100),2))))</f>
        <v/>
      </c>
      <c r="K190" s="27">
        <f>IF(G190="","",IF(NOT(ISNUMBER(G190)),"Revisa",IF(H190="","Falta IVA",ROUND(G190*(1+(H190+IF(H190=21,5.2,IF(H190=10,1.4,IF(H190=4,0.5,0))))/100),2))))</f>
        <v/>
      </c>
      <c r="L190" s="27">
        <f>IF(G190="","",IF(NOT(ISNUMBER(G190)),"Revisa",ROUND(ROUND(G190*(1+N($K$8)/100)/$O$7,0)*$O$7,2)))</f>
        <v/>
      </c>
      <c r="M190" s="27">
        <f>IF(G190="","",IF(NOT(ISNUMBER(G190)),"Revisa",ROUND(ROUND(G190*(1+N($K$9)/100)/$O$7,0)*$O$7,2)))</f>
        <v/>
      </c>
      <c r="N190" s="27">
        <f>IF(G190="","",IF(NOT(ISNUMBER(G190)),"Revisa",ROUND(ROUND(G190*(1+N($K$10)/100)/$O$7,0)*$O$7,2)))</f>
        <v/>
      </c>
      <c r="O190">
        <f>IF(B190="","",MAX($O$12:O189)+1)</f>
        <v/>
      </c>
      <c r="P190">
        <f>IF(AND(B190="",G190&lt;&gt;""),1,0)</f>
        <v/>
      </c>
    </row>
    <row r="191">
      <c r="A191" s="21" t="n"/>
      <c r="B191" s="21" t="n"/>
      <c r="C191" s="21" t="n"/>
      <c r="D191" s="22" t="n"/>
      <c r="E191" s="21" t="n"/>
      <c r="F191" s="23" t="n"/>
      <c r="G191" s="24" t="n"/>
      <c r="H191" s="25" t="n"/>
      <c r="I191" s="26">
        <f>IF(OR(NOT(ISNUMBER(G191)),N(D191)&lt;=1),"",ROUND(G191/D191,3))</f>
        <v/>
      </c>
      <c r="J191" s="27">
        <f>IF(G191="","",IF(NOT(ISNUMBER(G191)),"Revisa",IF(H191="","Falta IVA",ROUND(G191*(1+H191/100),2))))</f>
        <v/>
      </c>
      <c r="K191" s="27">
        <f>IF(G191="","",IF(NOT(ISNUMBER(G191)),"Revisa",IF(H191="","Falta IVA",ROUND(G191*(1+(H191+IF(H191=21,5.2,IF(H191=10,1.4,IF(H191=4,0.5,0))))/100),2))))</f>
        <v/>
      </c>
      <c r="L191" s="27">
        <f>IF(G191="","",IF(NOT(ISNUMBER(G191)),"Revisa",ROUND(ROUND(G191*(1+N($K$8)/100)/$O$7,0)*$O$7,2)))</f>
        <v/>
      </c>
      <c r="M191" s="27">
        <f>IF(G191="","",IF(NOT(ISNUMBER(G191)),"Revisa",ROUND(ROUND(G191*(1+N($K$9)/100)/$O$7,0)*$O$7,2)))</f>
        <v/>
      </c>
      <c r="N191" s="27">
        <f>IF(G191="","",IF(NOT(ISNUMBER(G191)),"Revisa",ROUND(ROUND(G191*(1+N($K$10)/100)/$O$7,0)*$O$7,2)))</f>
        <v/>
      </c>
      <c r="O191">
        <f>IF(B191="","",MAX($O$12:O190)+1)</f>
        <v/>
      </c>
      <c r="P191">
        <f>IF(AND(B191="",G191&lt;&gt;""),1,0)</f>
        <v/>
      </c>
    </row>
    <row r="192">
      <c r="A192" s="21" t="n"/>
      <c r="B192" s="21" t="n"/>
      <c r="C192" s="21" t="n"/>
      <c r="D192" s="22" t="n"/>
      <c r="E192" s="21" t="n"/>
      <c r="F192" s="23" t="n"/>
      <c r="G192" s="24" t="n"/>
      <c r="H192" s="25" t="n"/>
      <c r="I192" s="26">
        <f>IF(OR(NOT(ISNUMBER(G192)),N(D192)&lt;=1),"",ROUND(G192/D192,3))</f>
        <v/>
      </c>
      <c r="J192" s="27">
        <f>IF(G192="","",IF(NOT(ISNUMBER(G192)),"Revisa",IF(H192="","Falta IVA",ROUND(G192*(1+H192/100),2))))</f>
        <v/>
      </c>
      <c r="K192" s="27">
        <f>IF(G192="","",IF(NOT(ISNUMBER(G192)),"Revisa",IF(H192="","Falta IVA",ROUND(G192*(1+(H192+IF(H192=21,5.2,IF(H192=10,1.4,IF(H192=4,0.5,0))))/100),2))))</f>
        <v/>
      </c>
      <c r="L192" s="27">
        <f>IF(G192="","",IF(NOT(ISNUMBER(G192)),"Revisa",ROUND(ROUND(G192*(1+N($K$8)/100)/$O$7,0)*$O$7,2)))</f>
        <v/>
      </c>
      <c r="M192" s="27">
        <f>IF(G192="","",IF(NOT(ISNUMBER(G192)),"Revisa",ROUND(ROUND(G192*(1+N($K$9)/100)/$O$7,0)*$O$7,2)))</f>
        <v/>
      </c>
      <c r="N192" s="27">
        <f>IF(G192="","",IF(NOT(ISNUMBER(G192)),"Revisa",ROUND(ROUND(G192*(1+N($K$10)/100)/$O$7,0)*$O$7,2)))</f>
        <v/>
      </c>
      <c r="O192">
        <f>IF(B192="","",MAX($O$12:O191)+1)</f>
        <v/>
      </c>
      <c r="P192">
        <f>IF(AND(B192="",G192&lt;&gt;""),1,0)</f>
        <v/>
      </c>
    </row>
    <row r="193">
      <c r="A193" s="21" t="n"/>
      <c r="B193" s="21" t="n"/>
      <c r="C193" s="21" t="n"/>
      <c r="D193" s="22" t="n"/>
      <c r="E193" s="21" t="n"/>
      <c r="F193" s="23" t="n"/>
      <c r="G193" s="24" t="n"/>
      <c r="H193" s="25" t="n"/>
      <c r="I193" s="26">
        <f>IF(OR(NOT(ISNUMBER(G193)),N(D193)&lt;=1),"",ROUND(G193/D193,3))</f>
        <v/>
      </c>
      <c r="J193" s="27">
        <f>IF(G193="","",IF(NOT(ISNUMBER(G193)),"Revisa",IF(H193="","Falta IVA",ROUND(G193*(1+H193/100),2))))</f>
        <v/>
      </c>
      <c r="K193" s="27">
        <f>IF(G193="","",IF(NOT(ISNUMBER(G193)),"Revisa",IF(H193="","Falta IVA",ROUND(G193*(1+(H193+IF(H193=21,5.2,IF(H193=10,1.4,IF(H193=4,0.5,0))))/100),2))))</f>
        <v/>
      </c>
      <c r="L193" s="27">
        <f>IF(G193="","",IF(NOT(ISNUMBER(G193)),"Revisa",ROUND(ROUND(G193*(1+N($K$8)/100)/$O$7,0)*$O$7,2)))</f>
        <v/>
      </c>
      <c r="M193" s="27">
        <f>IF(G193="","",IF(NOT(ISNUMBER(G193)),"Revisa",ROUND(ROUND(G193*(1+N($K$9)/100)/$O$7,0)*$O$7,2)))</f>
        <v/>
      </c>
      <c r="N193" s="27">
        <f>IF(G193="","",IF(NOT(ISNUMBER(G193)),"Revisa",ROUND(ROUND(G193*(1+N($K$10)/100)/$O$7,0)*$O$7,2)))</f>
        <v/>
      </c>
      <c r="O193">
        <f>IF(B193="","",MAX($O$12:O192)+1)</f>
        <v/>
      </c>
      <c r="P193">
        <f>IF(AND(B193="",G193&lt;&gt;""),1,0)</f>
        <v/>
      </c>
    </row>
    <row r="194">
      <c r="A194" s="21" t="n"/>
      <c r="B194" s="21" t="n"/>
      <c r="C194" s="21" t="n"/>
      <c r="D194" s="22" t="n"/>
      <c r="E194" s="21" t="n"/>
      <c r="F194" s="23" t="n"/>
      <c r="G194" s="24" t="n"/>
      <c r="H194" s="25" t="n"/>
      <c r="I194" s="26">
        <f>IF(OR(NOT(ISNUMBER(G194)),N(D194)&lt;=1),"",ROUND(G194/D194,3))</f>
        <v/>
      </c>
      <c r="J194" s="27">
        <f>IF(G194="","",IF(NOT(ISNUMBER(G194)),"Revisa",IF(H194="","Falta IVA",ROUND(G194*(1+H194/100),2))))</f>
        <v/>
      </c>
      <c r="K194" s="27">
        <f>IF(G194="","",IF(NOT(ISNUMBER(G194)),"Revisa",IF(H194="","Falta IVA",ROUND(G194*(1+(H194+IF(H194=21,5.2,IF(H194=10,1.4,IF(H194=4,0.5,0))))/100),2))))</f>
        <v/>
      </c>
      <c r="L194" s="27">
        <f>IF(G194="","",IF(NOT(ISNUMBER(G194)),"Revisa",ROUND(ROUND(G194*(1+N($K$8)/100)/$O$7,0)*$O$7,2)))</f>
        <v/>
      </c>
      <c r="M194" s="27">
        <f>IF(G194="","",IF(NOT(ISNUMBER(G194)),"Revisa",ROUND(ROUND(G194*(1+N($K$9)/100)/$O$7,0)*$O$7,2)))</f>
        <v/>
      </c>
      <c r="N194" s="27">
        <f>IF(G194="","",IF(NOT(ISNUMBER(G194)),"Revisa",ROUND(ROUND(G194*(1+N($K$10)/100)/$O$7,0)*$O$7,2)))</f>
        <v/>
      </c>
      <c r="O194">
        <f>IF(B194="","",MAX($O$12:O193)+1)</f>
        <v/>
      </c>
      <c r="P194">
        <f>IF(AND(B194="",G194&lt;&gt;""),1,0)</f>
        <v/>
      </c>
    </row>
    <row r="195">
      <c r="A195" s="21" t="n"/>
      <c r="B195" s="21" t="n"/>
      <c r="C195" s="21" t="n"/>
      <c r="D195" s="22" t="n"/>
      <c r="E195" s="21" t="n"/>
      <c r="F195" s="23" t="n"/>
      <c r="G195" s="24" t="n"/>
      <c r="H195" s="25" t="n"/>
      <c r="I195" s="26">
        <f>IF(OR(NOT(ISNUMBER(G195)),N(D195)&lt;=1),"",ROUND(G195/D195,3))</f>
        <v/>
      </c>
      <c r="J195" s="27">
        <f>IF(G195="","",IF(NOT(ISNUMBER(G195)),"Revisa",IF(H195="","Falta IVA",ROUND(G195*(1+H195/100),2))))</f>
        <v/>
      </c>
      <c r="K195" s="27">
        <f>IF(G195="","",IF(NOT(ISNUMBER(G195)),"Revisa",IF(H195="","Falta IVA",ROUND(G195*(1+(H195+IF(H195=21,5.2,IF(H195=10,1.4,IF(H195=4,0.5,0))))/100),2))))</f>
        <v/>
      </c>
      <c r="L195" s="27">
        <f>IF(G195="","",IF(NOT(ISNUMBER(G195)),"Revisa",ROUND(ROUND(G195*(1+N($K$8)/100)/$O$7,0)*$O$7,2)))</f>
        <v/>
      </c>
      <c r="M195" s="27">
        <f>IF(G195="","",IF(NOT(ISNUMBER(G195)),"Revisa",ROUND(ROUND(G195*(1+N($K$9)/100)/$O$7,0)*$O$7,2)))</f>
        <v/>
      </c>
      <c r="N195" s="27">
        <f>IF(G195="","",IF(NOT(ISNUMBER(G195)),"Revisa",ROUND(ROUND(G195*(1+N($K$10)/100)/$O$7,0)*$O$7,2)))</f>
        <v/>
      </c>
      <c r="O195">
        <f>IF(B195="","",MAX($O$12:O194)+1)</f>
        <v/>
      </c>
      <c r="P195">
        <f>IF(AND(B195="",G195&lt;&gt;""),1,0)</f>
        <v/>
      </c>
    </row>
    <row r="196">
      <c r="A196" s="21" t="n"/>
      <c r="B196" s="21" t="n"/>
      <c r="C196" s="21" t="n"/>
      <c r="D196" s="22" t="n"/>
      <c r="E196" s="21" t="n"/>
      <c r="F196" s="23" t="n"/>
      <c r="G196" s="24" t="n"/>
      <c r="H196" s="25" t="n"/>
      <c r="I196" s="26">
        <f>IF(OR(NOT(ISNUMBER(G196)),N(D196)&lt;=1),"",ROUND(G196/D196,3))</f>
        <v/>
      </c>
      <c r="J196" s="27">
        <f>IF(G196="","",IF(NOT(ISNUMBER(G196)),"Revisa",IF(H196="","Falta IVA",ROUND(G196*(1+H196/100),2))))</f>
        <v/>
      </c>
      <c r="K196" s="27">
        <f>IF(G196="","",IF(NOT(ISNUMBER(G196)),"Revisa",IF(H196="","Falta IVA",ROUND(G196*(1+(H196+IF(H196=21,5.2,IF(H196=10,1.4,IF(H196=4,0.5,0))))/100),2))))</f>
        <v/>
      </c>
      <c r="L196" s="27">
        <f>IF(G196="","",IF(NOT(ISNUMBER(G196)),"Revisa",ROUND(ROUND(G196*(1+N($K$8)/100)/$O$7,0)*$O$7,2)))</f>
        <v/>
      </c>
      <c r="M196" s="27">
        <f>IF(G196="","",IF(NOT(ISNUMBER(G196)),"Revisa",ROUND(ROUND(G196*(1+N($K$9)/100)/$O$7,0)*$O$7,2)))</f>
        <v/>
      </c>
      <c r="N196" s="27">
        <f>IF(G196="","",IF(NOT(ISNUMBER(G196)),"Revisa",ROUND(ROUND(G196*(1+N($K$10)/100)/$O$7,0)*$O$7,2)))</f>
        <v/>
      </c>
      <c r="O196">
        <f>IF(B196="","",MAX($O$12:O195)+1)</f>
        <v/>
      </c>
      <c r="P196">
        <f>IF(AND(B196="",G196&lt;&gt;""),1,0)</f>
        <v/>
      </c>
    </row>
    <row r="197">
      <c r="A197" s="21" t="n"/>
      <c r="B197" s="21" t="n"/>
      <c r="C197" s="21" t="n"/>
      <c r="D197" s="22" t="n"/>
      <c r="E197" s="21" t="n"/>
      <c r="F197" s="23" t="n"/>
      <c r="G197" s="24" t="n"/>
      <c r="H197" s="25" t="n"/>
      <c r="I197" s="26">
        <f>IF(OR(NOT(ISNUMBER(G197)),N(D197)&lt;=1),"",ROUND(G197/D197,3))</f>
        <v/>
      </c>
      <c r="J197" s="27">
        <f>IF(G197="","",IF(NOT(ISNUMBER(G197)),"Revisa",IF(H197="","Falta IVA",ROUND(G197*(1+H197/100),2))))</f>
        <v/>
      </c>
      <c r="K197" s="27">
        <f>IF(G197="","",IF(NOT(ISNUMBER(G197)),"Revisa",IF(H197="","Falta IVA",ROUND(G197*(1+(H197+IF(H197=21,5.2,IF(H197=10,1.4,IF(H197=4,0.5,0))))/100),2))))</f>
        <v/>
      </c>
      <c r="L197" s="27">
        <f>IF(G197="","",IF(NOT(ISNUMBER(G197)),"Revisa",ROUND(ROUND(G197*(1+N($K$8)/100)/$O$7,0)*$O$7,2)))</f>
        <v/>
      </c>
      <c r="M197" s="27">
        <f>IF(G197="","",IF(NOT(ISNUMBER(G197)),"Revisa",ROUND(ROUND(G197*(1+N($K$9)/100)/$O$7,0)*$O$7,2)))</f>
        <v/>
      </c>
      <c r="N197" s="27">
        <f>IF(G197="","",IF(NOT(ISNUMBER(G197)),"Revisa",ROUND(ROUND(G197*(1+N($K$10)/100)/$O$7,0)*$O$7,2)))</f>
        <v/>
      </c>
      <c r="O197">
        <f>IF(B197="","",MAX($O$12:O196)+1)</f>
        <v/>
      </c>
      <c r="P197">
        <f>IF(AND(B197="",G197&lt;&gt;""),1,0)</f>
        <v/>
      </c>
    </row>
    <row r="198">
      <c r="A198" s="21" t="n"/>
      <c r="B198" s="21" t="n"/>
      <c r="C198" s="21" t="n"/>
      <c r="D198" s="22" t="n"/>
      <c r="E198" s="21" t="n"/>
      <c r="F198" s="23" t="n"/>
      <c r="G198" s="24" t="n"/>
      <c r="H198" s="25" t="n"/>
      <c r="I198" s="26">
        <f>IF(OR(NOT(ISNUMBER(G198)),N(D198)&lt;=1),"",ROUND(G198/D198,3))</f>
        <v/>
      </c>
      <c r="J198" s="27">
        <f>IF(G198="","",IF(NOT(ISNUMBER(G198)),"Revisa",IF(H198="","Falta IVA",ROUND(G198*(1+H198/100),2))))</f>
        <v/>
      </c>
      <c r="K198" s="27">
        <f>IF(G198="","",IF(NOT(ISNUMBER(G198)),"Revisa",IF(H198="","Falta IVA",ROUND(G198*(1+(H198+IF(H198=21,5.2,IF(H198=10,1.4,IF(H198=4,0.5,0))))/100),2))))</f>
        <v/>
      </c>
      <c r="L198" s="27">
        <f>IF(G198="","",IF(NOT(ISNUMBER(G198)),"Revisa",ROUND(ROUND(G198*(1+N($K$8)/100)/$O$7,0)*$O$7,2)))</f>
        <v/>
      </c>
      <c r="M198" s="27">
        <f>IF(G198="","",IF(NOT(ISNUMBER(G198)),"Revisa",ROUND(ROUND(G198*(1+N($K$9)/100)/$O$7,0)*$O$7,2)))</f>
        <v/>
      </c>
      <c r="N198" s="27">
        <f>IF(G198="","",IF(NOT(ISNUMBER(G198)),"Revisa",ROUND(ROUND(G198*(1+N($K$10)/100)/$O$7,0)*$O$7,2)))</f>
        <v/>
      </c>
      <c r="O198">
        <f>IF(B198="","",MAX($O$12:O197)+1)</f>
        <v/>
      </c>
      <c r="P198">
        <f>IF(AND(B198="",G198&lt;&gt;""),1,0)</f>
        <v/>
      </c>
    </row>
    <row r="199">
      <c r="A199" s="21" t="n"/>
      <c r="B199" s="21" t="n"/>
      <c r="C199" s="21" t="n"/>
      <c r="D199" s="22" t="n"/>
      <c r="E199" s="21" t="n"/>
      <c r="F199" s="23" t="n"/>
      <c r="G199" s="24" t="n"/>
      <c r="H199" s="25" t="n"/>
      <c r="I199" s="26">
        <f>IF(OR(NOT(ISNUMBER(G199)),N(D199)&lt;=1),"",ROUND(G199/D199,3))</f>
        <v/>
      </c>
      <c r="J199" s="27">
        <f>IF(G199="","",IF(NOT(ISNUMBER(G199)),"Revisa",IF(H199="","Falta IVA",ROUND(G199*(1+H199/100),2))))</f>
        <v/>
      </c>
      <c r="K199" s="27">
        <f>IF(G199="","",IF(NOT(ISNUMBER(G199)),"Revisa",IF(H199="","Falta IVA",ROUND(G199*(1+(H199+IF(H199=21,5.2,IF(H199=10,1.4,IF(H199=4,0.5,0))))/100),2))))</f>
        <v/>
      </c>
      <c r="L199" s="27">
        <f>IF(G199="","",IF(NOT(ISNUMBER(G199)),"Revisa",ROUND(ROUND(G199*(1+N($K$8)/100)/$O$7,0)*$O$7,2)))</f>
        <v/>
      </c>
      <c r="M199" s="27">
        <f>IF(G199="","",IF(NOT(ISNUMBER(G199)),"Revisa",ROUND(ROUND(G199*(1+N($K$9)/100)/$O$7,0)*$O$7,2)))</f>
        <v/>
      </c>
      <c r="N199" s="27">
        <f>IF(G199="","",IF(NOT(ISNUMBER(G199)),"Revisa",ROUND(ROUND(G199*(1+N($K$10)/100)/$O$7,0)*$O$7,2)))</f>
        <v/>
      </c>
      <c r="O199">
        <f>IF(B199="","",MAX($O$12:O198)+1)</f>
        <v/>
      </c>
      <c r="P199">
        <f>IF(AND(B199="",G199&lt;&gt;""),1,0)</f>
        <v/>
      </c>
    </row>
    <row r="200">
      <c r="A200" s="21" t="n"/>
      <c r="B200" s="21" t="n"/>
      <c r="C200" s="21" t="n"/>
      <c r="D200" s="22" t="n"/>
      <c r="E200" s="21" t="n"/>
      <c r="F200" s="23" t="n"/>
      <c r="G200" s="24" t="n"/>
      <c r="H200" s="25" t="n"/>
      <c r="I200" s="26">
        <f>IF(OR(NOT(ISNUMBER(G200)),N(D200)&lt;=1),"",ROUND(G200/D200,3))</f>
        <v/>
      </c>
      <c r="J200" s="27">
        <f>IF(G200="","",IF(NOT(ISNUMBER(G200)),"Revisa",IF(H200="","Falta IVA",ROUND(G200*(1+H200/100),2))))</f>
        <v/>
      </c>
      <c r="K200" s="27">
        <f>IF(G200="","",IF(NOT(ISNUMBER(G200)),"Revisa",IF(H200="","Falta IVA",ROUND(G200*(1+(H200+IF(H200=21,5.2,IF(H200=10,1.4,IF(H200=4,0.5,0))))/100),2))))</f>
        <v/>
      </c>
      <c r="L200" s="27">
        <f>IF(G200="","",IF(NOT(ISNUMBER(G200)),"Revisa",ROUND(ROUND(G200*(1+N($K$8)/100)/$O$7,0)*$O$7,2)))</f>
        <v/>
      </c>
      <c r="M200" s="27">
        <f>IF(G200="","",IF(NOT(ISNUMBER(G200)),"Revisa",ROUND(ROUND(G200*(1+N($K$9)/100)/$O$7,0)*$O$7,2)))</f>
        <v/>
      </c>
      <c r="N200" s="27">
        <f>IF(G200="","",IF(NOT(ISNUMBER(G200)),"Revisa",ROUND(ROUND(G200*(1+N($K$10)/100)/$O$7,0)*$O$7,2)))</f>
        <v/>
      </c>
      <c r="O200">
        <f>IF(B200="","",MAX($O$12:O199)+1)</f>
        <v/>
      </c>
      <c r="P200">
        <f>IF(AND(B200="",G200&lt;&gt;""),1,0)</f>
        <v/>
      </c>
    </row>
    <row r="201">
      <c r="A201" s="21" t="n"/>
      <c r="B201" s="21" t="n"/>
      <c r="C201" s="21" t="n"/>
      <c r="D201" s="22" t="n"/>
      <c r="E201" s="21" t="n"/>
      <c r="F201" s="23" t="n"/>
      <c r="G201" s="24" t="n"/>
      <c r="H201" s="25" t="n"/>
      <c r="I201" s="26">
        <f>IF(OR(NOT(ISNUMBER(G201)),N(D201)&lt;=1),"",ROUND(G201/D201,3))</f>
        <v/>
      </c>
      <c r="J201" s="27">
        <f>IF(G201="","",IF(NOT(ISNUMBER(G201)),"Revisa",IF(H201="","Falta IVA",ROUND(G201*(1+H201/100),2))))</f>
        <v/>
      </c>
      <c r="K201" s="27">
        <f>IF(G201="","",IF(NOT(ISNUMBER(G201)),"Revisa",IF(H201="","Falta IVA",ROUND(G201*(1+(H201+IF(H201=21,5.2,IF(H201=10,1.4,IF(H201=4,0.5,0))))/100),2))))</f>
        <v/>
      </c>
      <c r="L201" s="27">
        <f>IF(G201="","",IF(NOT(ISNUMBER(G201)),"Revisa",ROUND(ROUND(G201*(1+N($K$8)/100)/$O$7,0)*$O$7,2)))</f>
        <v/>
      </c>
      <c r="M201" s="27">
        <f>IF(G201="","",IF(NOT(ISNUMBER(G201)),"Revisa",ROUND(ROUND(G201*(1+N($K$9)/100)/$O$7,0)*$O$7,2)))</f>
        <v/>
      </c>
      <c r="N201" s="27">
        <f>IF(G201="","",IF(NOT(ISNUMBER(G201)),"Revisa",ROUND(ROUND(G201*(1+N($K$10)/100)/$O$7,0)*$O$7,2)))</f>
        <v/>
      </c>
      <c r="O201">
        <f>IF(B201="","",MAX($O$12:O200)+1)</f>
        <v/>
      </c>
      <c r="P201">
        <f>IF(AND(B201="",G201&lt;&gt;""),1,0)</f>
        <v/>
      </c>
    </row>
    <row r="202">
      <c r="A202" s="21" t="n"/>
      <c r="B202" s="21" t="n"/>
      <c r="C202" s="21" t="n"/>
      <c r="D202" s="22" t="n"/>
      <c r="E202" s="21" t="n"/>
      <c r="F202" s="23" t="n"/>
      <c r="G202" s="24" t="n"/>
      <c r="H202" s="25" t="n"/>
      <c r="I202" s="26">
        <f>IF(OR(NOT(ISNUMBER(G202)),N(D202)&lt;=1),"",ROUND(G202/D202,3))</f>
        <v/>
      </c>
      <c r="J202" s="27">
        <f>IF(G202="","",IF(NOT(ISNUMBER(G202)),"Revisa",IF(H202="","Falta IVA",ROUND(G202*(1+H202/100),2))))</f>
        <v/>
      </c>
      <c r="K202" s="27">
        <f>IF(G202="","",IF(NOT(ISNUMBER(G202)),"Revisa",IF(H202="","Falta IVA",ROUND(G202*(1+(H202+IF(H202=21,5.2,IF(H202=10,1.4,IF(H202=4,0.5,0))))/100),2))))</f>
        <v/>
      </c>
      <c r="L202" s="27">
        <f>IF(G202="","",IF(NOT(ISNUMBER(G202)),"Revisa",ROUND(ROUND(G202*(1+N($K$8)/100)/$O$7,0)*$O$7,2)))</f>
        <v/>
      </c>
      <c r="M202" s="27">
        <f>IF(G202="","",IF(NOT(ISNUMBER(G202)),"Revisa",ROUND(ROUND(G202*(1+N($K$9)/100)/$O$7,0)*$O$7,2)))</f>
        <v/>
      </c>
      <c r="N202" s="27">
        <f>IF(G202="","",IF(NOT(ISNUMBER(G202)),"Revisa",ROUND(ROUND(G202*(1+N($K$10)/100)/$O$7,0)*$O$7,2)))</f>
        <v/>
      </c>
      <c r="O202">
        <f>IF(B202="","",MAX($O$12:O201)+1)</f>
        <v/>
      </c>
      <c r="P202">
        <f>IF(AND(B202="",G202&lt;&gt;""),1,0)</f>
        <v/>
      </c>
    </row>
    <row r="203">
      <c r="A203" s="21" t="n"/>
      <c r="B203" s="21" t="n"/>
      <c r="C203" s="21" t="n"/>
      <c r="D203" s="22" t="n"/>
      <c r="E203" s="21" t="n"/>
      <c r="F203" s="23" t="n"/>
      <c r="G203" s="24" t="n"/>
      <c r="H203" s="25" t="n"/>
      <c r="I203" s="26">
        <f>IF(OR(NOT(ISNUMBER(G203)),N(D203)&lt;=1),"",ROUND(G203/D203,3))</f>
        <v/>
      </c>
      <c r="J203" s="27">
        <f>IF(G203="","",IF(NOT(ISNUMBER(G203)),"Revisa",IF(H203="","Falta IVA",ROUND(G203*(1+H203/100),2))))</f>
        <v/>
      </c>
      <c r="K203" s="27">
        <f>IF(G203="","",IF(NOT(ISNUMBER(G203)),"Revisa",IF(H203="","Falta IVA",ROUND(G203*(1+(H203+IF(H203=21,5.2,IF(H203=10,1.4,IF(H203=4,0.5,0))))/100),2))))</f>
        <v/>
      </c>
      <c r="L203" s="27">
        <f>IF(G203="","",IF(NOT(ISNUMBER(G203)),"Revisa",ROUND(ROUND(G203*(1+N($K$8)/100)/$O$7,0)*$O$7,2)))</f>
        <v/>
      </c>
      <c r="M203" s="27">
        <f>IF(G203="","",IF(NOT(ISNUMBER(G203)),"Revisa",ROUND(ROUND(G203*(1+N($K$9)/100)/$O$7,0)*$O$7,2)))</f>
        <v/>
      </c>
      <c r="N203" s="27">
        <f>IF(G203="","",IF(NOT(ISNUMBER(G203)),"Revisa",ROUND(ROUND(G203*(1+N($K$10)/100)/$O$7,0)*$O$7,2)))</f>
        <v/>
      </c>
      <c r="O203">
        <f>IF(B203="","",MAX($O$12:O202)+1)</f>
        <v/>
      </c>
      <c r="P203">
        <f>IF(AND(B203="",G203&lt;&gt;""),1,0)</f>
        <v/>
      </c>
    </row>
    <row r="204">
      <c r="A204" s="21" t="n"/>
      <c r="B204" s="21" t="n"/>
      <c r="C204" s="21" t="n"/>
      <c r="D204" s="22" t="n"/>
      <c r="E204" s="21" t="n"/>
      <c r="F204" s="23" t="n"/>
      <c r="G204" s="24" t="n"/>
      <c r="H204" s="25" t="n"/>
      <c r="I204" s="26">
        <f>IF(OR(NOT(ISNUMBER(G204)),N(D204)&lt;=1),"",ROUND(G204/D204,3))</f>
        <v/>
      </c>
      <c r="J204" s="27">
        <f>IF(G204="","",IF(NOT(ISNUMBER(G204)),"Revisa",IF(H204="","Falta IVA",ROUND(G204*(1+H204/100),2))))</f>
        <v/>
      </c>
      <c r="K204" s="27">
        <f>IF(G204="","",IF(NOT(ISNUMBER(G204)),"Revisa",IF(H204="","Falta IVA",ROUND(G204*(1+(H204+IF(H204=21,5.2,IF(H204=10,1.4,IF(H204=4,0.5,0))))/100),2))))</f>
        <v/>
      </c>
      <c r="L204" s="27">
        <f>IF(G204="","",IF(NOT(ISNUMBER(G204)),"Revisa",ROUND(ROUND(G204*(1+N($K$8)/100)/$O$7,0)*$O$7,2)))</f>
        <v/>
      </c>
      <c r="M204" s="27">
        <f>IF(G204="","",IF(NOT(ISNUMBER(G204)),"Revisa",ROUND(ROUND(G204*(1+N($K$9)/100)/$O$7,0)*$O$7,2)))</f>
        <v/>
      </c>
      <c r="N204" s="27">
        <f>IF(G204="","",IF(NOT(ISNUMBER(G204)),"Revisa",ROUND(ROUND(G204*(1+N($K$10)/100)/$O$7,0)*$O$7,2)))</f>
        <v/>
      </c>
      <c r="O204">
        <f>IF(B204="","",MAX($O$12:O203)+1)</f>
        <v/>
      </c>
      <c r="P204">
        <f>IF(AND(B204="",G204&lt;&gt;""),1,0)</f>
        <v/>
      </c>
    </row>
    <row r="205">
      <c r="A205" s="21" t="n"/>
      <c r="B205" s="21" t="n"/>
      <c r="C205" s="21" t="n"/>
      <c r="D205" s="22" t="n"/>
      <c r="E205" s="21" t="n"/>
      <c r="F205" s="23" t="n"/>
      <c r="G205" s="24" t="n"/>
      <c r="H205" s="25" t="n"/>
      <c r="I205" s="26">
        <f>IF(OR(NOT(ISNUMBER(G205)),N(D205)&lt;=1),"",ROUND(G205/D205,3))</f>
        <v/>
      </c>
      <c r="J205" s="27">
        <f>IF(G205="","",IF(NOT(ISNUMBER(G205)),"Revisa",IF(H205="","Falta IVA",ROUND(G205*(1+H205/100),2))))</f>
        <v/>
      </c>
      <c r="K205" s="27">
        <f>IF(G205="","",IF(NOT(ISNUMBER(G205)),"Revisa",IF(H205="","Falta IVA",ROUND(G205*(1+(H205+IF(H205=21,5.2,IF(H205=10,1.4,IF(H205=4,0.5,0))))/100),2))))</f>
        <v/>
      </c>
      <c r="L205" s="27">
        <f>IF(G205="","",IF(NOT(ISNUMBER(G205)),"Revisa",ROUND(ROUND(G205*(1+N($K$8)/100)/$O$7,0)*$O$7,2)))</f>
        <v/>
      </c>
      <c r="M205" s="27">
        <f>IF(G205="","",IF(NOT(ISNUMBER(G205)),"Revisa",ROUND(ROUND(G205*(1+N($K$9)/100)/$O$7,0)*$O$7,2)))</f>
        <v/>
      </c>
      <c r="N205" s="27">
        <f>IF(G205="","",IF(NOT(ISNUMBER(G205)),"Revisa",ROUND(ROUND(G205*(1+N($K$10)/100)/$O$7,0)*$O$7,2)))</f>
        <v/>
      </c>
      <c r="O205">
        <f>IF(B205="","",MAX($O$12:O204)+1)</f>
        <v/>
      </c>
      <c r="P205">
        <f>IF(AND(B205="",G205&lt;&gt;""),1,0)</f>
        <v/>
      </c>
    </row>
    <row r="206">
      <c r="A206" s="21" t="n"/>
      <c r="B206" s="21" t="n"/>
      <c r="C206" s="21" t="n"/>
      <c r="D206" s="22" t="n"/>
      <c r="E206" s="21" t="n"/>
      <c r="F206" s="23" t="n"/>
      <c r="G206" s="24" t="n"/>
      <c r="H206" s="25" t="n"/>
      <c r="I206" s="26">
        <f>IF(OR(NOT(ISNUMBER(G206)),N(D206)&lt;=1),"",ROUND(G206/D206,3))</f>
        <v/>
      </c>
      <c r="J206" s="27">
        <f>IF(G206="","",IF(NOT(ISNUMBER(G206)),"Revisa",IF(H206="","Falta IVA",ROUND(G206*(1+H206/100),2))))</f>
        <v/>
      </c>
      <c r="K206" s="27">
        <f>IF(G206="","",IF(NOT(ISNUMBER(G206)),"Revisa",IF(H206="","Falta IVA",ROUND(G206*(1+(H206+IF(H206=21,5.2,IF(H206=10,1.4,IF(H206=4,0.5,0))))/100),2))))</f>
        <v/>
      </c>
      <c r="L206" s="27">
        <f>IF(G206="","",IF(NOT(ISNUMBER(G206)),"Revisa",ROUND(ROUND(G206*(1+N($K$8)/100)/$O$7,0)*$O$7,2)))</f>
        <v/>
      </c>
      <c r="M206" s="27">
        <f>IF(G206="","",IF(NOT(ISNUMBER(G206)),"Revisa",ROUND(ROUND(G206*(1+N($K$9)/100)/$O$7,0)*$O$7,2)))</f>
        <v/>
      </c>
      <c r="N206" s="27">
        <f>IF(G206="","",IF(NOT(ISNUMBER(G206)),"Revisa",ROUND(ROUND(G206*(1+N($K$10)/100)/$O$7,0)*$O$7,2)))</f>
        <v/>
      </c>
      <c r="O206">
        <f>IF(B206="","",MAX($O$12:O205)+1)</f>
        <v/>
      </c>
      <c r="P206">
        <f>IF(AND(B206="",G206&lt;&gt;""),1,0)</f>
        <v/>
      </c>
    </row>
    <row r="207">
      <c r="A207" s="21" t="n"/>
      <c r="B207" s="21" t="n"/>
      <c r="C207" s="21" t="n"/>
      <c r="D207" s="22" t="n"/>
      <c r="E207" s="21" t="n"/>
      <c r="F207" s="23" t="n"/>
      <c r="G207" s="24" t="n"/>
      <c r="H207" s="25" t="n"/>
      <c r="I207" s="26">
        <f>IF(OR(NOT(ISNUMBER(G207)),N(D207)&lt;=1),"",ROUND(G207/D207,3))</f>
        <v/>
      </c>
      <c r="J207" s="27">
        <f>IF(G207="","",IF(NOT(ISNUMBER(G207)),"Revisa",IF(H207="","Falta IVA",ROUND(G207*(1+H207/100),2))))</f>
        <v/>
      </c>
      <c r="K207" s="27">
        <f>IF(G207="","",IF(NOT(ISNUMBER(G207)),"Revisa",IF(H207="","Falta IVA",ROUND(G207*(1+(H207+IF(H207=21,5.2,IF(H207=10,1.4,IF(H207=4,0.5,0))))/100),2))))</f>
        <v/>
      </c>
      <c r="L207" s="27">
        <f>IF(G207="","",IF(NOT(ISNUMBER(G207)),"Revisa",ROUND(ROUND(G207*(1+N($K$8)/100)/$O$7,0)*$O$7,2)))</f>
        <v/>
      </c>
      <c r="M207" s="27">
        <f>IF(G207="","",IF(NOT(ISNUMBER(G207)),"Revisa",ROUND(ROUND(G207*(1+N($K$9)/100)/$O$7,0)*$O$7,2)))</f>
        <v/>
      </c>
      <c r="N207" s="27">
        <f>IF(G207="","",IF(NOT(ISNUMBER(G207)),"Revisa",ROUND(ROUND(G207*(1+N($K$10)/100)/$O$7,0)*$O$7,2)))</f>
        <v/>
      </c>
      <c r="O207">
        <f>IF(B207="","",MAX($O$12:O206)+1)</f>
        <v/>
      </c>
      <c r="P207">
        <f>IF(AND(B207="",G207&lt;&gt;""),1,0)</f>
        <v/>
      </c>
    </row>
    <row r="208">
      <c r="A208" s="21" t="n"/>
      <c r="B208" s="21" t="n"/>
      <c r="C208" s="21" t="n"/>
      <c r="D208" s="22" t="n"/>
      <c r="E208" s="21" t="n"/>
      <c r="F208" s="23" t="n"/>
      <c r="G208" s="24" t="n"/>
      <c r="H208" s="25" t="n"/>
      <c r="I208" s="26">
        <f>IF(OR(NOT(ISNUMBER(G208)),N(D208)&lt;=1),"",ROUND(G208/D208,3))</f>
        <v/>
      </c>
      <c r="J208" s="27">
        <f>IF(G208="","",IF(NOT(ISNUMBER(G208)),"Revisa",IF(H208="","Falta IVA",ROUND(G208*(1+H208/100),2))))</f>
        <v/>
      </c>
      <c r="K208" s="27">
        <f>IF(G208="","",IF(NOT(ISNUMBER(G208)),"Revisa",IF(H208="","Falta IVA",ROUND(G208*(1+(H208+IF(H208=21,5.2,IF(H208=10,1.4,IF(H208=4,0.5,0))))/100),2))))</f>
        <v/>
      </c>
      <c r="L208" s="27">
        <f>IF(G208="","",IF(NOT(ISNUMBER(G208)),"Revisa",ROUND(ROUND(G208*(1+N($K$8)/100)/$O$7,0)*$O$7,2)))</f>
        <v/>
      </c>
      <c r="M208" s="27">
        <f>IF(G208="","",IF(NOT(ISNUMBER(G208)),"Revisa",ROUND(ROUND(G208*(1+N($K$9)/100)/$O$7,0)*$O$7,2)))</f>
        <v/>
      </c>
      <c r="N208" s="27">
        <f>IF(G208="","",IF(NOT(ISNUMBER(G208)),"Revisa",ROUND(ROUND(G208*(1+N($K$10)/100)/$O$7,0)*$O$7,2)))</f>
        <v/>
      </c>
      <c r="O208">
        <f>IF(B208="","",MAX($O$12:O207)+1)</f>
        <v/>
      </c>
      <c r="P208">
        <f>IF(AND(B208="",G208&lt;&gt;""),1,0)</f>
        <v/>
      </c>
    </row>
    <row r="209">
      <c r="A209" s="21" t="n"/>
      <c r="B209" s="21" t="n"/>
      <c r="C209" s="21" t="n"/>
      <c r="D209" s="22" t="n"/>
      <c r="E209" s="21" t="n"/>
      <c r="F209" s="23" t="n"/>
      <c r="G209" s="24" t="n"/>
      <c r="H209" s="25" t="n"/>
      <c r="I209" s="26">
        <f>IF(OR(NOT(ISNUMBER(G209)),N(D209)&lt;=1),"",ROUND(G209/D209,3))</f>
        <v/>
      </c>
      <c r="J209" s="27">
        <f>IF(G209="","",IF(NOT(ISNUMBER(G209)),"Revisa",IF(H209="","Falta IVA",ROUND(G209*(1+H209/100),2))))</f>
        <v/>
      </c>
      <c r="K209" s="27">
        <f>IF(G209="","",IF(NOT(ISNUMBER(G209)),"Revisa",IF(H209="","Falta IVA",ROUND(G209*(1+(H209+IF(H209=21,5.2,IF(H209=10,1.4,IF(H209=4,0.5,0))))/100),2))))</f>
        <v/>
      </c>
      <c r="L209" s="27">
        <f>IF(G209="","",IF(NOT(ISNUMBER(G209)),"Revisa",ROUND(ROUND(G209*(1+N($K$8)/100)/$O$7,0)*$O$7,2)))</f>
        <v/>
      </c>
      <c r="M209" s="27">
        <f>IF(G209="","",IF(NOT(ISNUMBER(G209)),"Revisa",ROUND(ROUND(G209*(1+N($K$9)/100)/$O$7,0)*$O$7,2)))</f>
        <v/>
      </c>
      <c r="N209" s="27">
        <f>IF(G209="","",IF(NOT(ISNUMBER(G209)),"Revisa",ROUND(ROUND(G209*(1+N($K$10)/100)/$O$7,0)*$O$7,2)))</f>
        <v/>
      </c>
      <c r="O209">
        <f>IF(B209="","",MAX($O$12:O208)+1)</f>
        <v/>
      </c>
      <c r="P209">
        <f>IF(AND(B209="",G209&lt;&gt;""),1,0)</f>
        <v/>
      </c>
    </row>
    <row r="210">
      <c r="A210" s="21" t="n"/>
      <c r="B210" s="21" t="n"/>
      <c r="C210" s="21" t="n"/>
      <c r="D210" s="22" t="n"/>
      <c r="E210" s="21" t="n"/>
      <c r="F210" s="23" t="n"/>
      <c r="G210" s="24" t="n"/>
      <c r="H210" s="25" t="n"/>
      <c r="I210" s="26">
        <f>IF(OR(NOT(ISNUMBER(G210)),N(D210)&lt;=1),"",ROUND(G210/D210,3))</f>
        <v/>
      </c>
      <c r="J210" s="27">
        <f>IF(G210="","",IF(NOT(ISNUMBER(G210)),"Revisa",IF(H210="","Falta IVA",ROUND(G210*(1+H210/100),2))))</f>
        <v/>
      </c>
      <c r="K210" s="27">
        <f>IF(G210="","",IF(NOT(ISNUMBER(G210)),"Revisa",IF(H210="","Falta IVA",ROUND(G210*(1+(H210+IF(H210=21,5.2,IF(H210=10,1.4,IF(H210=4,0.5,0))))/100),2))))</f>
        <v/>
      </c>
      <c r="L210" s="27">
        <f>IF(G210="","",IF(NOT(ISNUMBER(G210)),"Revisa",ROUND(ROUND(G210*(1+N($K$8)/100)/$O$7,0)*$O$7,2)))</f>
        <v/>
      </c>
      <c r="M210" s="27">
        <f>IF(G210="","",IF(NOT(ISNUMBER(G210)),"Revisa",ROUND(ROUND(G210*(1+N($K$9)/100)/$O$7,0)*$O$7,2)))</f>
        <v/>
      </c>
      <c r="N210" s="27">
        <f>IF(G210="","",IF(NOT(ISNUMBER(G210)),"Revisa",ROUND(ROUND(G210*(1+N($K$10)/100)/$O$7,0)*$O$7,2)))</f>
        <v/>
      </c>
      <c r="O210">
        <f>IF(B210="","",MAX($O$12:O209)+1)</f>
        <v/>
      </c>
      <c r="P210">
        <f>IF(AND(B210="",G210&lt;&gt;""),1,0)</f>
        <v/>
      </c>
    </row>
    <row r="211">
      <c r="A211" s="21" t="n"/>
      <c r="B211" s="21" t="n"/>
      <c r="C211" s="21" t="n"/>
      <c r="D211" s="22" t="n"/>
      <c r="E211" s="21" t="n"/>
      <c r="F211" s="23" t="n"/>
      <c r="G211" s="24" t="n"/>
      <c r="H211" s="25" t="n"/>
      <c r="I211" s="26">
        <f>IF(OR(NOT(ISNUMBER(G211)),N(D211)&lt;=1),"",ROUND(G211/D211,3))</f>
        <v/>
      </c>
      <c r="J211" s="27">
        <f>IF(G211="","",IF(NOT(ISNUMBER(G211)),"Revisa",IF(H211="","Falta IVA",ROUND(G211*(1+H211/100),2))))</f>
        <v/>
      </c>
      <c r="K211" s="27">
        <f>IF(G211="","",IF(NOT(ISNUMBER(G211)),"Revisa",IF(H211="","Falta IVA",ROUND(G211*(1+(H211+IF(H211=21,5.2,IF(H211=10,1.4,IF(H211=4,0.5,0))))/100),2))))</f>
        <v/>
      </c>
      <c r="L211" s="27">
        <f>IF(G211="","",IF(NOT(ISNUMBER(G211)),"Revisa",ROUND(ROUND(G211*(1+N($K$8)/100)/$O$7,0)*$O$7,2)))</f>
        <v/>
      </c>
      <c r="M211" s="27">
        <f>IF(G211="","",IF(NOT(ISNUMBER(G211)),"Revisa",ROUND(ROUND(G211*(1+N($K$9)/100)/$O$7,0)*$O$7,2)))</f>
        <v/>
      </c>
      <c r="N211" s="27">
        <f>IF(G211="","",IF(NOT(ISNUMBER(G211)),"Revisa",ROUND(ROUND(G211*(1+N($K$10)/100)/$O$7,0)*$O$7,2)))</f>
        <v/>
      </c>
      <c r="O211">
        <f>IF(B211="","",MAX($O$12:O210)+1)</f>
        <v/>
      </c>
      <c r="P211">
        <f>IF(AND(B211="",G211&lt;&gt;""),1,0)</f>
        <v/>
      </c>
    </row>
    <row r="212">
      <c r="A212" s="21" t="n"/>
      <c r="B212" s="21" t="n"/>
      <c r="C212" s="21" t="n"/>
      <c r="D212" s="22" t="n"/>
      <c r="E212" s="21" t="n"/>
      <c r="F212" s="23" t="n"/>
      <c r="G212" s="24" t="n"/>
      <c r="H212" s="25" t="n"/>
      <c r="I212" s="26">
        <f>IF(OR(NOT(ISNUMBER(G212)),N(D212)&lt;=1),"",ROUND(G212/D212,3))</f>
        <v/>
      </c>
      <c r="J212" s="27">
        <f>IF(G212="","",IF(NOT(ISNUMBER(G212)),"Revisa",IF(H212="","Falta IVA",ROUND(G212*(1+H212/100),2))))</f>
        <v/>
      </c>
      <c r="K212" s="27">
        <f>IF(G212="","",IF(NOT(ISNUMBER(G212)),"Revisa",IF(H212="","Falta IVA",ROUND(G212*(1+(H212+IF(H212=21,5.2,IF(H212=10,1.4,IF(H212=4,0.5,0))))/100),2))))</f>
        <v/>
      </c>
      <c r="L212" s="27">
        <f>IF(G212="","",IF(NOT(ISNUMBER(G212)),"Revisa",ROUND(ROUND(G212*(1+N($K$8)/100)/$O$7,0)*$O$7,2)))</f>
        <v/>
      </c>
      <c r="M212" s="27">
        <f>IF(G212="","",IF(NOT(ISNUMBER(G212)),"Revisa",ROUND(ROUND(G212*(1+N($K$9)/100)/$O$7,0)*$O$7,2)))</f>
        <v/>
      </c>
      <c r="N212" s="27">
        <f>IF(G212="","",IF(NOT(ISNUMBER(G212)),"Revisa",ROUND(ROUND(G212*(1+N($K$10)/100)/$O$7,0)*$O$7,2)))</f>
        <v/>
      </c>
      <c r="O212">
        <f>IF(B212="","",MAX($O$12:O211)+1)</f>
        <v/>
      </c>
      <c r="P212">
        <f>IF(AND(B212="",G212&lt;&gt;""),1,0)</f>
        <v/>
      </c>
    </row>
    <row r="213">
      <c r="A213" s="21" t="n"/>
      <c r="B213" s="21" t="n"/>
      <c r="C213" s="21" t="n"/>
      <c r="D213" s="22" t="n"/>
      <c r="E213" s="21" t="n"/>
      <c r="F213" s="23" t="n"/>
      <c r="G213" s="24" t="n"/>
      <c r="H213" s="25" t="n"/>
      <c r="I213" s="26">
        <f>IF(OR(NOT(ISNUMBER(G213)),N(D213)&lt;=1),"",ROUND(G213/D213,3))</f>
        <v/>
      </c>
      <c r="J213" s="27">
        <f>IF(G213="","",IF(NOT(ISNUMBER(G213)),"Revisa",IF(H213="","Falta IVA",ROUND(G213*(1+H213/100),2))))</f>
        <v/>
      </c>
      <c r="K213" s="27">
        <f>IF(G213="","",IF(NOT(ISNUMBER(G213)),"Revisa",IF(H213="","Falta IVA",ROUND(G213*(1+(H213+IF(H213=21,5.2,IF(H213=10,1.4,IF(H213=4,0.5,0))))/100),2))))</f>
        <v/>
      </c>
      <c r="L213" s="27">
        <f>IF(G213="","",IF(NOT(ISNUMBER(G213)),"Revisa",ROUND(ROUND(G213*(1+N($K$8)/100)/$O$7,0)*$O$7,2)))</f>
        <v/>
      </c>
      <c r="M213" s="27">
        <f>IF(G213="","",IF(NOT(ISNUMBER(G213)),"Revisa",ROUND(ROUND(G213*(1+N($K$9)/100)/$O$7,0)*$O$7,2)))</f>
        <v/>
      </c>
      <c r="N213" s="27">
        <f>IF(G213="","",IF(NOT(ISNUMBER(G213)),"Revisa",ROUND(ROUND(G213*(1+N($K$10)/100)/$O$7,0)*$O$7,2)))</f>
        <v/>
      </c>
      <c r="O213">
        <f>IF(B213="","",MAX($O$12:O212)+1)</f>
        <v/>
      </c>
      <c r="P213">
        <f>IF(AND(B213="",G213&lt;&gt;""),1,0)</f>
        <v/>
      </c>
    </row>
    <row r="214">
      <c r="A214" s="21" t="n"/>
      <c r="B214" s="21" t="n"/>
      <c r="C214" s="21" t="n"/>
      <c r="D214" s="22" t="n"/>
      <c r="E214" s="21" t="n"/>
      <c r="F214" s="23" t="n"/>
      <c r="G214" s="24" t="n"/>
      <c r="H214" s="25" t="n"/>
      <c r="I214" s="26">
        <f>IF(OR(NOT(ISNUMBER(G214)),N(D214)&lt;=1),"",ROUND(G214/D214,3))</f>
        <v/>
      </c>
      <c r="J214" s="27">
        <f>IF(G214="","",IF(NOT(ISNUMBER(G214)),"Revisa",IF(H214="","Falta IVA",ROUND(G214*(1+H214/100),2))))</f>
        <v/>
      </c>
      <c r="K214" s="27">
        <f>IF(G214="","",IF(NOT(ISNUMBER(G214)),"Revisa",IF(H214="","Falta IVA",ROUND(G214*(1+(H214+IF(H214=21,5.2,IF(H214=10,1.4,IF(H214=4,0.5,0))))/100),2))))</f>
        <v/>
      </c>
      <c r="L214" s="27">
        <f>IF(G214="","",IF(NOT(ISNUMBER(G214)),"Revisa",ROUND(ROUND(G214*(1+N($K$8)/100)/$O$7,0)*$O$7,2)))</f>
        <v/>
      </c>
      <c r="M214" s="27">
        <f>IF(G214="","",IF(NOT(ISNUMBER(G214)),"Revisa",ROUND(ROUND(G214*(1+N($K$9)/100)/$O$7,0)*$O$7,2)))</f>
        <v/>
      </c>
      <c r="N214" s="27">
        <f>IF(G214="","",IF(NOT(ISNUMBER(G214)),"Revisa",ROUND(ROUND(G214*(1+N($K$10)/100)/$O$7,0)*$O$7,2)))</f>
        <v/>
      </c>
      <c r="O214">
        <f>IF(B214="","",MAX($O$12:O213)+1)</f>
        <v/>
      </c>
      <c r="P214">
        <f>IF(AND(B214="",G214&lt;&gt;""),1,0)</f>
        <v/>
      </c>
    </row>
    <row r="215">
      <c r="A215" s="21" t="n"/>
      <c r="B215" s="21" t="n"/>
      <c r="C215" s="21" t="n"/>
      <c r="D215" s="22" t="n"/>
      <c r="E215" s="21" t="n"/>
      <c r="F215" s="23" t="n"/>
      <c r="G215" s="24" t="n"/>
      <c r="H215" s="25" t="n"/>
      <c r="I215" s="26">
        <f>IF(OR(NOT(ISNUMBER(G215)),N(D215)&lt;=1),"",ROUND(G215/D215,3))</f>
        <v/>
      </c>
      <c r="J215" s="27">
        <f>IF(G215="","",IF(NOT(ISNUMBER(G215)),"Revisa",IF(H215="","Falta IVA",ROUND(G215*(1+H215/100),2))))</f>
        <v/>
      </c>
      <c r="K215" s="27">
        <f>IF(G215="","",IF(NOT(ISNUMBER(G215)),"Revisa",IF(H215="","Falta IVA",ROUND(G215*(1+(H215+IF(H215=21,5.2,IF(H215=10,1.4,IF(H215=4,0.5,0))))/100),2))))</f>
        <v/>
      </c>
      <c r="L215" s="27">
        <f>IF(G215="","",IF(NOT(ISNUMBER(G215)),"Revisa",ROUND(ROUND(G215*(1+N($K$8)/100)/$O$7,0)*$O$7,2)))</f>
        <v/>
      </c>
      <c r="M215" s="27">
        <f>IF(G215="","",IF(NOT(ISNUMBER(G215)),"Revisa",ROUND(ROUND(G215*(1+N($K$9)/100)/$O$7,0)*$O$7,2)))</f>
        <v/>
      </c>
      <c r="N215" s="27">
        <f>IF(G215="","",IF(NOT(ISNUMBER(G215)),"Revisa",ROUND(ROUND(G215*(1+N($K$10)/100)/$O$7,0)*$O$7,2)))</f>
        <v/>
      </c>
      <c r="O215">
        <f>IF(B215="","",MAX($O$12:O214)+1)</f>
        <v/>
      </c>
      <c r="P215">
        <f>IF(AND(B215="",G215&lt;&gt;""),1,0)</f>
        <v/>
      </c>
    </row>
    <row r="216">
      <c r="A216" s="21" t="n"/>
      <c r="B216" s="21" t="n"/>
      <c r="C216" s="21" t="n"/>
      <c r="D216" s="22" t="n"/>
      <c r="E216" s="21" t="n"/>
      <c r="F216" s="23" t="n"/>
      <c r="G216" s="24" t="n"/>
      <c r="H216" s="25" t="n"/>
      <c r="I216" s="26">
        <f>IF(OR(NOT(ISNUMBER(G216)),N(D216)&lt;=1),"",ROUND(G216/D216,3))</f>
        <v/>
      </c>
      <c r="J216" s="27">
        <f>IF(G216="","",IF(NOT(ISNUMBER(G216)),"Revisa",IF(H216="","Falta IVA",ROUND(G216*(1+H216/100),2))))</f>
        <v/>
      </c>
      <c r="K216" s="27">
        <f>IF(G216="","",IF(NOT(ISNUMBER(G216)),"Revisa",IF(H216="","Falta IVA",ROUND(G216*(1+(H216+IF(H216=21,5.2,IF(H216=10,1.4,IF(H216=4,0.5,0))))/100),2))))</f>
        <v/>
      </c>
      <c r="L216" s="27">
        <f>IF(G216="","",IF(NOT(ISNUMBER(G216)),"Revisa",ROUND(ROUND(G216*(1+N($K$8)/100)/$O$7,0)*$O$7,2)))</f>
        <v/>
      </c>
      <c r="M216" s="27">
        <f>IF(G216="","",IF(NOT(ISNUMBER(G216)),"Revisa",ROUND(ROUND(G216*(1+N($K$9)/100)/$O$7,0)*$O$7,2)))</f>
        <v/>
      </c>
      <c r="N216" s="27">
        <f>IF(G216="","",IF(NOT(ISNUMBER(G216)),"Revisa",ROUND(ROUND(G216*(1+N($K$10)/100)/$O$7,0)*$O$7,2)))</f>
        <v/>
      </c>
      <c r="O216">
        <f>IF(B216="","",MAX($O$12:O215)+1)</f>
        <v/>
      </c>
      <c r="P216">
        <f>IF(AND(B216="",G216&lt;&gt;""),1,0)</f>
        <v/>
      </c>
    </row>
    <row r="217">
      <c r="A217" s="21" t="n"/>
      <c r="B217" s="21" t="n"/>
      <c r="C217" s="21" t="n"/>
      <c r="D217" s="22" t="n"/>
      <c r="E217" s="21" t="n"/>
      <c r="F217" s="23" t="n"/>
      <c r="G217" s="24" t="n"/>
      <c r="H217" s="25" t="n"/>
      <c r="I217" s="26">
        <f>IF(OR(NOT(ISNUMBER(G217)),N(D217)&lt;=1),"",ROUND(G217/D217,3))</f>
        <v/>
      </c>
      <c r="J217" s="27">
        <f>IF(G217="","",IF(NOT(ISNUMBER(G217)),"Revisa",IF(H217="","Falta IVA",ROUND(G217*(1+H217/100),2))))</f>
        <v/>
      </c>
      <c r="K217" s="27">
        <f>IF(G217="","",IF(NOT(ISNUMBER(G217)),"Revisa",IF(H217="","Falta IVA",ROUND(G217*(1+(H217+IF(H217=21,5.2,IF(H217=10,1.4,IF(H217=4,0.5,0))))/100),2))))</f>
        <v/>
      </c>
      <c r="L217" s="27">
        <f>IF(G217="","",IF(NOT(ISNUMBER(G217)),"Revisa",ROUND(ROUND(G217*(1+N($K$8)/100)/$O$7,0)*$O$7,2)))</f>
        <v/>
      </c>
      <c r="M217" s="27">
        <f>IF(G217="","",IF(NOT(ISNUMBER(G217)),"Revisa",ROUND(ROUND(G217*(1+N($K$9)/100)/$O$7,0)*$O$7,2)))</f>
        <v/>
      </c>
      <c r="N217" s="27">
        <f>IF(G217="","",IF(NOT(ISNUMBER(G217)),"Revisa",ROUND(ROUND(G217*(1+N($K$10)/100)/$O$7,0)*$O$7,2)))</f>
        <v/>
      </c>
      <c r="O217">
        <f>IF(B217="","",MAX($O$12:O216)+1)</f>
        <v/>
      </c>
      <c r="P217">
        <f>IF(AND(B217="",G217&lt;&gt;""),1,0)</f>
        <v/>
      </c>
    </row>
    <row r="218">
      <c r="A218" s="21" t="n"/>
      <c r="B218" s="21" t="n"/>
      <c r="C218" s="21" t="n"/>
      <c r="D218" s="22" t="n"/>
      <c r="E218" s="21" t="n"/>
      <c r="F218" s="23" t="n"/>
      <c r="G218" s="24" t="n"/>
      <c r="H218" s="25" t="n"/>
      <c r="I218" s="26">
        <f>IF(OR(NOT(ISNUMBER(G218)),N(D218)&lt;=1),"",ROUND(G218/D218,3))</f>
        <v/>
      </c>
      <c r="J218" s="27">
        <f>IF(G218="","",IF(NOT(ISNUMBER(G218)),"Revisa",IF(H218="","Falta IVA",ROUND(G218*(1+H218/100),2))))</f>
        <v/>
      </c>
      <c r="K218" s="27">
        <f>IF(G218="","",IF(NOT(ISNUMBER(G218)),"Revisa",IF(H218="","Falta IVA",ROUND(G218*(1+(H218+IF(H218=21,5.2,IF(H218=10,1.4,IF(H218=4,0.5,0))))/100),2))))</f>
        <v/>
      </c>
      <c r="L218" s="27">
        <f>IF(G218="","",IF(NOT(ISNUMBER(G218)),"Revisa",ROUND(ROUND(G218*(1+N($K$8)/100)/$O$7,0)*$O$7,2)))</f>
        <v/>
      </c>
      <c r="M218" s="27">
        <f>IF(G218="","",IF(NOT(ISNUMBER(G218)),"Revisa",ROUND(ROUND(G218*(1+N($K$9)/100)/$O$7,0)*$O$7,2)))</f>
        <v/>
      </c>
      <c r="N218" s="27">
        <f>IF(G218="","",IF(NOT(ISNUMBER(G218)),"Revisa",ROUND(ROUND(G218*(1+N($K$10)/100)/$O$7,0)*$O$7,2)))</f>
        <v/>
      </c>
      <c r="O218">
        <f>IF(B218="","",MAX($O$12:O217)+1)</f>
        <v/>
      </c>
      <c r="P218">
        <f>IF(AND(B218="",G218&lt;&gt;""),1,0)</f>
        <v/>
      </c>
    </row>
    <row r="219">
      <c r="A219" s="21" t="n"/>
      <c r="B219" s="21" t="n"/>
      <c r="C219" s="21" t="n"/>
      <c r="D219" s="22" t="n"/>
      <c r="E219" s="21" t="n"/>
      <c r="F219" s="23" t="n"/>
      <c r="G219" s="24" t="n"/>
      <c r="H219" s="25" t="n"/>
      <c r="I219" s="26">
        <f>IF(OR(NOT(ISNUMBER(G219)),N(D219)&lt;=1),"",ROUND(G219/D219,3))</f>
        <v/>
      </c>
      <c r="J219" s="27">
        <f>IF(G219="","",IF(NOT(ISNUMBER(G219)),"Revisa",IF(H219="","Falta IVA",ROUND(G219*(1+H219/100),2))))</f>
        <v/>
      </c>
      <c r="K219" s="27">
        <f>IF(G219="","",IF(NOT(ISNUMBER(G219)),"Revisa",IF(H219="","Falta IVA",ROUND(G219*(1+(H219+IF(H219=21,5.2,IF(H219=10,1.4,IF(H219=4,0.5,0))))/100),2))))</f>
        <v/>
      </c>
      <c r="L219" s="27">
        <f>IF(G219="","",IF(NOT(ISNUMBER(G219)),"Revisa",ROUND(ROUND(G219*(1+N($K$8)/100)/$O$7,0)*$O$7,2)))</f>
        <v/>
      </c>
      <c r="M219" s="27">
        <f>IF(G219="","",IF(NOT(ISNUMBER(G219)),"Revisa",ROUND(ROUND(G219*(1+N($K$9)/100)/$O$7,0)*$O$7,2)))</f>
        <v/>
      </c>
      <c r="N219" s="27">
        <f>IF(G219="","",IF(NOT(ISNUMBER(G219)),"Revisa",ROUND(ROUND(G219*(1+N($K$10)/100)/$O$7,0)*$O$7,2)))</f>
        <v/>
      </c>
      <c r="O219">
        <f>IF(B219="","",MAX($O$12:O218)+1)</f>
        <v/>
      </c>
      <c r="P219">
        <f>IF(AND(B219="",G219&lt;&gt;""),1,0)</f>
        <v/>
      </c>
    </row>
    <row r="220">
      <c r="A220" s="21" t="n"/>
      <c r="B220" s="21" t="n"/>
      <c r="C220" s="21" t="n"/>
      <c r="D220" s="22" t="n"/>
      <c r="E220" s="21" t="n"/>
      <c r="F220" s="23" t="n"/>
      <c r="G220" s="24" t="n"/>
      <c r="H220" s="25" t="n"/>
      <c r="I220" s="26">
        <f>IF(OR(NOT(ISNUMBER(G220)),N(D220)&lt;=1),"",ROUND(G220/D220,3))</f>
        <v/>
      </c>
      <c r="J220" s="27">
        <f>IF(G220="","",IF(NOT(ISNUMBER(G220)),"Revisa",IF(H220="","Falta IVA",ROUND(G220*(1+H220/100),2))))</f>
        <v/>
      </c>
      <c r="K220" s="27">
        <f>IF(G220="","",IF(NOT(ISNUMBER(G220)),"Revisa",IF(H220="","Falta IVA",ROUND(G220*(1+(H220+IF(H220=21,5.2,IF(H220=10,1.4,IF(H220=4,0.5,0))))/100),2))))</f>
        <v/>
      </c>
      <c r="L220" s="27">
        <f>IF(G220="","",IF(NOT(ISNUMBER(G220)),"Revisa",ROUND(ROUND(G220*(1+N($K$8)/100)/$O$7,0)*$O$7,2)))</f>
        <v/>
      </c>
      <c r="M220" s="27">
        <f>IF(G220="","",IF(NOT(ISNUMBER(G220)),"Revisa",ROUND(ROUND(G220*(1+N($K$9)/100)/$O$7,0)*$O$7,2)))</f>
        <v/>
      </c>
      <c r="N220" s="27">
        <f>IF(G220="","",IF(NOT(ISNUMBER(G220)),"Revisa",ROUND(ROUND(G220*(1+N($K$10)/100)/$O$7,0)*$O$7,2)))</f>
        <v/>
      </c>
      <c r="O220">
        <f>IF(B220="","",MAX($O$12:O219)+1)</f>
        <v/>
      </c>
      <c r="P220">
        <f>IF(AND(B220="",G220&lt;&gt;""),1,0)</f>
        <v/>
      </c>
    </row>
    <row r="221">
      <c r="A221" s="21" t="n"/>
      <c r="B221" s="21" t="n"/>
      <c r="C221" s="21" t="n"/>
      <c r="D221" s="22" t="n"/>
      <c r="E221" s="21" t="n"/>
      <c r="F221" s="23" t="n"/>
      <c r="G221" s="24" t="n"/>
      <c r="H221" s="25" t="n"/>
      <c r="I221" s="26">
        <f>IF(OR(NOT(ISNUMBER(G221)),N(D221)&lt;=1),"",ROUND(G221/D221,3))</f>
        <v/>
      </c>
      <c r="J221" s="27">
        <f>IF(G221="","",IF(NOT(ISNUMBER(G221)),"Revisa",IF(H221="","Falta IVA",ROUND(G221*(1+H221/100),2))))</f>
        <v/>
      </c>
      <c r="K221" s="27">
        <f>IF(G221="","",IF(NOT(ISNUMBER(G221)),"Revisa",IF(H221="","Falta IVA",ROUND(G221*(1+(H221+IF(H221=21,5.2,IF(H221=10,1.4,IF(H221=4,0.5,0))))/100),2))))</f>
        <v/>
      </c>
      <c r="L221" s="27">
        <f>IF(G221="","",IF(NOT(ISNUMBER(G221)),"Revisa",ROUND(ROUND(G221*(1+N($K$8)/100)/$O$7,0)*$O$7,2)))</f>
        <v/>
      </c>
      <c r="M221" s="27">
        <f>IF(G221="","",IF(NOT(ISNUMBER(G221)),"Revisa",ROUND(ROUND(G221*(1+N($K$9)/100)/$O$7,0)*$O$7,2)))</f>
        <v/>
      </c>
      <c r="N221" s="27">
        <f>IF(G221="","",IF(NOT(ISNUMBER(G221)),"Revisa",ROUND(ROUND(G221*(1+N($K$10)/100)/$O$7,0)*$O$7,2)))</f>
        <v/>
      </c>
      <c r="O221">
        <f>IF(B221="","",MAX($O$12:O220)+1)</f>
        <v/>
      </c>
      <c r="P221">
        <f>IF(AND(B221="",G221&lt;&gt;""),1,0)</f>
        <v/>
      </c>
    </row>
    <row r="222">
      <c r="A222" s="21" t="n"/>
      <c r="B222" s="21" t="n"/>
      <c r="C222" s="21" t="n"/>
      <c r="D222" s="22" t="n"/>
      <c r="E222" s="21" t="n"/>
      <c r="F222" s="23" t="n"/>
      <c r="G222" s="24" t="n"/>
      <c r="H222" s="25" t="n"/>
      <c r="I222" s="26">
        <f>IF(OR(NOT(ISNUMBER(G222)),N(D222)&lt;=1),"",ROUND(G222/D222,3))</f>
        <v/>
      </c>
      <c r="J222" s="27">
        <f>IF(G222="","",IF(NOT(ISNUMBER(G222)),"Revisa",IF(H222="","Falta IVA",ROUND(G222*(1+H222/100),2))))</f>
        <v/>
      </c>
      <c r="K222" s="27">
        <f>IF(G222="","",IF(NOT(ISNUMBER(G222)),"Revisa",IF(H222="","Falta IVA",ROUND(G222*(1+(H222+IF(H222=21,5.2,IF(H222=10,1.4,IF(H222=4,0.5,0))))/100),2))))</f>
        <v/>
      </c>
      <c r="L222" s="27">
        <f>IF(G222="","",IF(NOT(ISNUMBER(G222)),"Revisa",ROUND(ROUND(G222*(1+N($K$8)/100)/$O$7,0)*$O$7,2)))</f>
        <v/>
      </c>
      <c r="M222" s="27">
        <f>IF(G222="","",IF(NOT(ISNUMBER(G222)),"Revisa",ROUND(ROUND(G222*(1+N($K$9)/100)/$O$7,0)*$O$7,2)))</f>
        <v/>
      </c>
      <c r="N222" s="27">
        <f>IF(G222="","",IF(NOT(ISNUMBER(G222)),"Revisa",ROUND(ROUND(G222*(1+N($K$10)/100)/$O$7,0)*$O$7,2)))</f>
        <v/>
      </c>
      <c r="O222">
        <f>IF(B222="","",MAX($O$12:O221)+1)</f>
        <v/>
      </c>
      <c r="P222">
        <f>IF(AND(B222="",G222&lt;&gt;""),1,0)</f>
        <v/>
      </c>
    </row>
    <row r="223">
      <c r="A223" s="21" t="n"/>
      <c r="B223" s="21" t="n"/>
      <c r="C223" s="21" t="n"/>
      <c r="D223" s="22" t="n"/>
      <c r="E223" s="21" t="n"/>
      <c r="F223" s="23" t="n"/>
      <c r="G223" s="24" t="n"/>
      <c r="H223" s="25" t="n"/>
      <c r="I223" s="26">
        <f>IF(OR(NOT(ISNUMBER(G223)),N(D223)&lt;=1),"",ROUND(G223/D223,3))</f>
        <v/>
      </c>
      <c r="J223" s="27">
        <f>IF(G223="","",IF(NOT(ISNUMBER(G223)),"Revisa",IF(H223="","Falta IVA",ROUND(G223*(1+H223/100),2))))</f>
        <v/>
      </c>
      <c r="K223" s="27">
        <f>IF(G223="","",IF(NOT(ISNUMBER(G223)),"Revisa",IF(H223="","Falta IVA",ROUND(G223*(1+(H223+IF(H223=21,5.2,IF(H223=10,1.4,IF(H223=4,0.5,0))))/100),2))))</f>
        <v/>
      </c>
      <c r="L223" s="27">
        <f>IF(G223="","",IF(NOT(ISNUMBER(G223)),"Revisa",ROUND(ROUND(G223*(1+N($K$8)/100)/$O$7,0)*$O$7,2)))</f>
        <v/>
      </c>
      <c r="M223" s="27">
        <f>IF(G223="","",IF(NOT(ISNUMBER(G223)),"Revisa",ROUND(ROUND(G223*(1+N($K$9)/100)/$O$7,0)*$O$7,2)))</f>
        <v/>
      </c>
      <c r="N223" s="27">
        <f>IF(G223="","",IF(NOT(ISNUMBER(G223)),"Revisa",ROUND(ROUND(G223*(1+N($K$10)/100)/$O$7,0)*$O$7,2)))</f>
        <v/>
      </c>
      <c r="O223">
        <f>IF(B223="","",MAX($O$12:O222)+1)</f>
        <v/>
      </c>
      <c r="P223">
        <f>IF(AND(B223="",G223&lt;&gt;""),1,0)</f>
        <v/>
      </c>
    </row>
    <row r="224">
      <c r="A224" s="21" t="n"/>
      <c r="B224" s="21" t="n"/>
      <c r="C224" s="21" t="n"/>
      <c r="D224" s="22" t="n"/>
      <c r="E224" s="21" t="n"/>
      <c r="F224" s="23" t="n"/>
      <c r="G224" s="24" t="n"/>
      <c r="H224" s="25" t="n"/>
      <c r="I224" s="26">
        <f>IF(OR(NOT(ISNUMBER(G224)),N(D224)&lt;=1),"",ROUND(G224/D224,3))</f>
        <v/>
      </c>
      <c r="J224" s="27">
        <f>IF(G224="","",IF(NOT(ISNUMBER(G224)),"Revisa",IF(H224="","Falta IVA",ROUND(G224*(1+H224/100),2))))</f>
        <v/>
      </c>
      <c r="K224" s="27">
        <f>IF(G224="","",IF(NOT(ISNUMBER(G224)),"Revisa",IF(H224="","Falta IVA",ROUND(G224*(1+(H224+IF(H224=21,5.2,IF(H224=10,1.4,IF(H224=4,0.5,0))))/100),2))))</f>
        <v/>
      </c>
      <c r="L224" s="27">
        <f>IF(G224="","",IF(NOT(ISNUMBER(G224)),"Revisa",ROUND(ROUND(G224*(1+N($K$8)/100)/$O$7,0)*$O$7,2)))</f>
        <v/>
      </c>
      <c r="M224" s="27">
        <f>IF(G224="","",IF(NOT(ISNUMBER(G224)),"Revisa",ROUND(ROUND(G224*(1+N($K$9)/100)/$O$7,0)*$O$7,2)))</f>
        <v/>
      </c>
      <c r="N224" s="27">
        <f>IF(G224="","",IF(NOT(ISNUMBER(G224)),"Revisa",ROUND(ROUND(G224*(1+N($K$10)/100)/$O$7,0)*$O$7,2)))</f>
        <v/>
      </c>
      <c r="O224">
        <f>IF(B224="","",MAX($O$12:O223)+1)</f>
        <v/>
      </c>
      <c r="P224">
        <f>IF(AND(B224="",G224&lt;&gt;""),1,0)</f>
        <v/>
      </c>
    </row>
    <row r="225">
      <c r="A225" s="21" t="n"/>
      <c r="B225" s="21" t="n"/>
      <c r="C225" s="21" t="n"/>
      <c r="D225" s="22" t="n"/>
      <c r="E225" s="21" t="n"/>
      <c r="F225" s="23" t="n"/>
      <c r="G225" s="24" t="n"/>
      <c r="H225" s="25" t="n"/>
      <c r="I225" s="26">
        <f>IF(OR(NOT(ISNUMBER(G225)),N(D225)&lt;=1),"",ROUND(G225/D225,3))</f>
        <v/>
      </c>
      <c r="J225" s="27">
        <f>IF(G225="","",IF(NOT(ISNUMBER(G225)),"Revisa",IF(H225="","Falta IVA",ROUND(G225*(1+H225/100),2))))</f>
        <v/>
      </c>
      <c r="K225" s="27">
        <f>IF(G225="","",IF(NOT(ISNUMBER(G225)),"Revisa",IF(H225="","Falta IVA",ROUND(G225*(1+(H225+IF(H225=21,5.2,IF(H225=10,1.4,IF(H225=4,0.5,0))))/100),2))))</f>
        <v/>
      </c>
      <c r="L225" s="27">
        <f>IF(G225="","",IF(NOT(ISNUMBER(G225)),"Revisa",ROUND(ROUND(G225*(1+N($K$8)/100)/$O$7,0)*$O$7,2)))</f>
        <v/>
      </c>
      <c r="M225" s="27">
        <f>IF(G225="","",IF(NOT(ISNUMBER(G225)),"Revisa",ROUND(ROUND(G225*(1+N($K$9)/100)/$O$7,0)*$O$7,2)))</f>
        <v/>
      </c>
      <c r="N225" s="27">
        <f>IF(G225="","",IF(NOT(ISNUMBER(G225)),"Revisa",ROUND(ROUND(G225*(1+N($K$10)/100)/$O$7,0)*$O$7,2)))</f>
        <v/>
      </c>
      <c r="O225">
        <f>IF(B225="","",MAX($O$12:O224)+1)</f>
        <v/>
      </c>
      <c r="P225">
        <f>IF(AND(B225="",G225&lt;&gt;""),1,0)</f>
        <v/>
      </c>
    </row>
    <row r="226">
      <c r="A226" s="21" t="n"/>
      <c r="B226" s="21" t="n"/>
      <c r="C226" s="21" t="n"/>
      <c r="D226" s="22" t="n"/>
      <c r="E226" s="21" t="n"/>
      <c r="F226" s="23" t="n"/>
      <c r="G226" s="24" t="n"/>
      <c r="H226" s="25" t="n"/>
      <c r="I226" s="26">
        <f>IF(OR(NOT(ISNUMBER(G226)),N(D226)&lt;=1),"",ROUND(G226/D226,3))</f>
        <v/>
      </c>
      <c r="J226" s="27">
        <f>IF(G226="","",IF(NOT(ISNUMBER(G226)),"Revisa",IF(H226="","Falta IVA",ROUND(G226*(1+H226/100),2))))</f>
        <v/>
      </c>
      <c r="K226" s="27">
        <f>IF(G226="","",IF(NOT(ISNUMBER(G226)),"Revisa",IF(H226="","Falta IVA",ROUND(G226*(1+(H226+IF(H226=21,5.2,IF(H226=10,1.4,IF(H226=4,0.5,0))))/100),2))))</f>
        <v/>
      </c>
      <c r="L226" s="27">
        <f>IF(G226="","",IF(NOT(ISNUMBER(G226)),"Revisa",ROUND(ROUND(G226*(1+N($K$8)/100)/$O$7,0)*$O$7,2)))</f>
        <v/>
      </c>
      <c r="M226" s="27">
        <f>IF(G226="","",IF(NOT(ISNUMBER(G226)),"Revisa",ROUND(ROUND(G226*(1+N($K$9)/100)/$O$7,0)*$O$7,2)))</f>
        <v/>
      </c>
      <c r="N226" s="27">
        <f>IF(G226="","",IF(NOT(ISNUMBER(G226)),"Revisa",ROUND(ROUND(G226*(1+N($K$10)/100)/$O$7,0)*$O$7,2)))</f>
        <v/>
      </c>
      <c r="O226">
        <f>IF(B226="","",MAX($O$12:O225)+1)</f>
        <v/>
      </c>
      <c r="P226">
        <f>IF(AND(B226="",G226&lt;&gt;""),1,0)</f>
        <v/>
      </c>
    </row>
    <row r="227">
      <c r="A227" s="21" t="n"/>
      <c r="B227" s="21" t="n"/>
      <c r="C227" s="21" t="n"/>
      <c r="D227" s="22" t="n"/>
      <c r="E227" s="21" t="n"/>
      <c r="F227" s="23" t="n"/>
      <c r="G227" s="24" t="n"/>
      <c r="H227" s="25" t="n"/>
      <c r="I227" s="26">
        <f>IF(OR(NOT(ISNUMBER(G227)),N(D227)&lt;=1),"",ROUND(G227/D227,3))</f>
        <v/>
      </c>
      <c r="J227" s="27">
        <f>IF(G227="","",IF(NOT(ISNUMBER(G227)),"Revisa",IF(H227="","Falta IVA",ROUND(G227*(1+H227/100),2))))</f>
        <v/>
      </c>
      <c r="K227" s="27">
        <f>IF(G227="","",IF(NOT(ISNUMBER(G227)),"Revisa",IF(H227="","Falta IVA",ROUND(G227*(1+(H227+IF(H227=21,5.2,IF(H227=10,1.4,IF(H227=4,0.5,0))))/100),2))))</f>
        <v/>
      </c>
      <c r="L227" s="27">
        <f>IF(G227="","",IF(NOT(ISNUMBER(G227)),"Revisa",ROUND(ROUND(G227*(1+N($K$8)/100)/$O$7,0)*$O$7,2)))</f>
        <v/>
      </c>
      <c r="M227" s="27">
        <f>IF(G227="","",IF(NOT(ISNUMBER(G227)),"Revisa",ROUND(ROUND(G227*(1+N($K$9)/100)/$O$7,0)*$O$7,2)))</f>
        <v/>
      </c>
      <c r="N227" s="27">
        <f>IF(G227="","",IF(NOT(ISNUMBER(G227)),"Revisa",ROUND(ROUND(G227*(1+N($K$10)/100)/$O$7,0)*$O$7,2)))</f>
        <v/>
      </c>
      <c r="O227">
        <f>IF(B227="","",MAX($O$12:O226)+1)</f>
        <v/>
      </c>
      <c r="P227">
        <f>IF(AND(B227="",G227&lt;&gt;""),1,0)</f>
        <v/>
      </c>
    </row>
    <row r="228">
      <c r="A228" s="21" t="n"/>
      <c r="B228" s="21" t="n"/>
      <c r="C228" s="21" t="n"/>
      <c r="D228" s="22" t="n"/>
      <c r="E228" s="21" t="n"/>
      <c r="F228" s="23" t="n"/>
      <c r="G228" s="24" t="n"/>
      <c r="H228" s="25" t="n"/>
      <c r="I228" s="26">
        <f>IF(OR(NOT(ISNUMBER(G228)),N(D228)&lt;=1),"",ROUND(G228/D228,3))</f>
        <v/>
      </c>
      <c r="J228" s="27">
        <f>IF(G228="","",IF(NOT(ISNUMBER(G228)),"Revisa",IF(H228="","Falta IVA",ROUND(G228*(1+H228/100),2))))</f>
        <v/>
      </c>
      <c r="K228" s="27">
        <f>IF(G228="","",IF(NOT(ISNUMBER(G228)),"Revisa",IF(H228="","Falta IVA",ROUND(G228*(1+(H228+IF(H228=21,5.2,IF(H228=10,1.4,IF(H228=4,0.5,0))))/100),2))))</f>
        <v/>
      </c>
      <c r="L228" s="27">
        <f>IF(G228="","",IF(NOT(ISNUMBER(G228)),"Revisa",ROUND(ROUND(G228*(1+N($K$8)/100)/$O$7,0)*$O$7,2)))</f>
        <v/>
      </c>
      <c r="M228" s="27">
        <f>IF(G228="","",IF(NOT(ISNUMBER(G228)),"Revisa",ROUND(ROUND(G228*(1+N($K$9)/100)/$O$7,0)*$O$7,2)))</f>
        <v/>
      </c>
      <c r="N228" s="27">
        <f>IF(G228="","",IF(NOT(ISNUMBER(G228)),"Revisa",ROUND(ROUND(G228*(1+N($K$10)/100)/$O$7,0)*$O$7,2)))</f>
        <v/>
      </c>
      <c r="O228">
        <f>IF(B228="","",MAX($O$12:O227)+1)</f>
        <v/>
      </c>
      <c r="P228">
        <f>IF(AND(B228="",G228&lt;&gt;""),1,0)</f>
        <v/>
      </c>
    </row>
    <row r="229">
      <c r="A229" s="21" t="n"/>
      <c r="B229" s="21" t="n"/>
      <c r="C229" s="21" t="n"/>
      <c r="D229" s="22" t="n"/>
      <c r="E229" s="21" t="n"/>
      <c r="F229" s="23" t="n"/>
      <c r="G229" s="24" t="n"/>
      <c r="H229" s="25" t="n"/>
      <c r="I229" s="26">
        <f>IF(OR(NOT(ISNUMBER(G229)),N(D229)&lt;=1),"",ROUND(G229/D229,3))</f>
        <v/>
      </c>
      <c r="J229" s="27">
        <f>IF(G229="","",IF(NOT(ISNUMBER(G229)),"Revisa",IF(H229="","Falta IVA",ROUND(G229*(1+H229/100),2))))</f>
        <v/>
      </c>
      <c r="K229" s="27">
        <f>IF(G229="","",IF(NOT(ISNUMBER(G229)),"Revisa",IF(H229="","Falta IVA",ROUND(G229*(1+(H229+IF(H229=21,5.2,IF(H229=10,1.4,IF(H229=4,0.5,0))))/100),2))))</f>
        <v/>
      </c>
      <c r="L229" s="27">
        <f>IF(G229="","",IF(NOT(ISNUMBER(G229)),"Revisa",ROUND(ROUND(G229*(1+N($K$8)/100)/$O$7,0)*$O$7,2)))</f>
        <v/>
      </c>
      <c r="M229" s="27">
        <f>IF(G229="","",IF(NOT(ISNUMBER(G229)),"Revisa",ROUND(ROUND(G229*(1+N($K$9)/100)/$O$7,0)*$O$7,2)))</f>
        <v/>
      </c>
      <c r="N229" s="27">
        <f>IF(G229="","",IF(NOT(ISNUMBER(G229)),"Revisa",ROUND(ROUND(G229*(1+N($K$10)/100)/$O$7,0)*$O$7,2)))</f>
        <v/>
      </c>
      <c r="O229">
        <f>IF(B229="","",MAX($O$12:O228)+1)</f>
        <v/>
      </c>
      <c r="P229">
        <f>IF(AND(B229="",G229&lt;&gt;""),1,0)</f>
        <v/>
      </c>
    </row>
    <row r="230">
      <c r="A230" s="21" t="n"/>
      <c r="B230" s="21" t="n"/>
      <c r="C230" s="21" t="n"/>
      <c r="D230" s="22" t="n"/>
      <c r="E230" s="21" t="n"/>
      <c r="F230" s="23" t="n"/>
      <c r="G230" s="24" t="n"/>
      <c r="H230" s="25" t="n"/>
      <c r="I230" s="26">
        <f>IF(OR(NOT(ISNUMBER(G230)),N(D230)&lt;=1),"",ROUND(G230/D230,3))</f>
        <v/>
      </c>
      <c r="J230" s="27">
        <f>IF(G230="","",IF(NOT(ISNUMBER(G230)),"Revisa",IF(H230="","Falta IVA",ROUND(G230*(1+H230/100),2))))</f>
        <v/>
      </c>
      <c r="K230" s="27">
        <f>IF(G230="","",IF(NOT(ISNUMBER(G230)),"Revisa",IF(H230="","Falta IVA",ROUND(G230*(1+(H230+IF(H230=21,5.2,IF(H230=10,1.4,IF(H230=4,0.5,0))))/100),2))))</f>
        <v/>
      </c>
      <c r="L230" s="27">
        <f>IF(G230="","",IF(NOT(ISNUMBER(G230)),"Revisa",ROUND(ROUND(G230*(1+N($K$8)/100)/$O$7,0)*$O$7,2)))</f>
        <v/>
      </c>
      <c r="M230" s="27">
        <f>IF(G230="","",IF(NOT(ISNUMBER(G230)),"Revisa",ROUND(ROUND(G230*(1+N($K$9)/100)/$O$7,0)*$O$7,2)))</f>
        <v/>
      </c>
      <c r="N230" s="27">
        <f>IF(G230="","",IF(NOT(ISNUMBER(G230)),"Revisa",ROUND(ROUND(G230*(1+N($K$10)/100)/$O$7,0)*$O$7,2)))</f>
        <v/>
      </c>
      <c r="O230">
        <f>IF(B230="","",MAX($O$12:O229)+1)</f>
        <v/>
      </c>
      <c r="P230">
        <f>IF(AND(B230="",G230&lt;&gt;""),1,0)</f>
        <v/>
      </c>
    </row>
    <row r="231">
      <c r="A231" s="21" t="n"/>
      <c r="B231" s="21" t="n"/>
      <c r="C231" s="21" t="n"/>
      <c r="D231" s="22" t="n"/>
      <c r="E231" s="21" t="n"/>
      <c r="F231" s="23" t="n"/>
      <c r="G231" s="24" t="n"/>
      <c r="H231" s="25" t="n"/>
      <c r="I231" s="26">
        <f>IF(OR(NOT(ISNUMBER(G231)),N(D231)&lt;=1),"",ROUND(G231/D231,3))</f>
        <v/>
      </c>
      <c r="J231" s="27">
        <f>IF(G231="","",IF(NOT(ISNUMBER(G231)),"Revisa",IF(H231="","Falta IVA",ROUND(G231*(1+H231/100),2))))</f>
        <v/>
      </c>
      <c r="K231" s="27">
        <f>IF(G231="","",IF(NOT(ISNUMBER(G231)),"Revisa",IF(H231="","Falta IVA",ROUND(G231*(1+(H231+IF(H231=21,5.2,IF(H231=10,1.4,IF(H231=4,0.5,0))))/100),2))))</f>
        <v/>
      </c>
      <c r="L231" s="27">
        <f>IF(G231="","",IF(NOT(ISNUMBER(G231)),"Revisa",ROUND(ROUND(G231*(1+N($K$8)/100)/$O$7,0)*$O$7,2)))</f>
        <v/>
      </c>
      <c r="M231" s="27">
        <f>IF(G231="","",IF(NOT(ISNUMBER(G231)),"Revisa",ROUND(ROUND(G231*(1+N($K$9)/100)/$O$7,0)*$O$7,2)))</f>
        <v/>
      </c>
      <c r="N231" s="27">
        <f>IF(G231="","",IF(NOT(ISNUMBER(G231)),"Revisa",ROUND(ROUND(G231*(1+N($K$10)/100)/$O$7,0)*$O$7,2)))</f>
        <v/>
      </c>
      <c r="O231">
        <f>IF(B231="","",MAX($O$12:O230)+1)</f>
        <v/>
      </c>
      <c r="P231">
        <f>IF(AND(B231="",G231&lt;&gt;""),1,0)</f>
        <v/>
      </c>
    </row>
    <row r="232">
      <c r="A232" s="21" t="n"/>
      <c r="B232" s="21" t="n"/>
      <c r="C232" s="21" t="n"/>
      <c r="D232" s="22" t="n"/>
      <c r="E232" s="21" t="n"/>
      <c r="F232" s="23" t="n"/>
      <c r="G232" s="24" t="n"/>
      <c r="H232" s="25" t="n"/>
      <c r="I232" s="26">
        <f>IF(OR(NOT(ISNUMBER(G232)),N(D232)&lt;=1),"",ROUND(G232/D232,3))</f>
        <v/>
      </c>
      <c r="J232" s="27">
        <f>IF(G232="","",IF(NOT(ISNUMBER(G232)),"Revisa",IF(H232="","Falta IVA",ROUND(G232*(1+H232/100),2))))</f>
        <v/>
      </c>
      <c r="K232" s="27">
        <f>IF(G232="","",IF(NOT(ISNUMBER(G232)),"Revisa",IF(H232="","Falta IVA",ROUND(G232*(1+(H232+IF(H232=21,5.2,IF(H232=10,1.4,IF(H232=4,0.5,0))))/100),2))))</f>
        <v/>
      </c>
      <c r="L232" s="27">
        <f>IF(G232="","",IF(NOT(ISNUMBER(G232)),"Revisa",ROUND(ROUND(G232*(1+N($K$8)/100)/$O$7,0)*$O$7,2)))</f>
        <v/>
      </c>
      <c r="M232" s="27">
        <f>IF(G232="","",IF(NOT(ISNUMBER(G232)),"Revisa",ROUND(ROUND(G232*(1+N($K$9)/100)/$O$7,0)*$O$7,2)))</f>
        <v/>
      </c>
      <c r="N232" s="27">
        <f>IF(G232="","",IF(NOT(ISNUMBER(G232)),"Revisa",ROUND(ROUND(G232*(1+N($K$10)/100)/$O$7,0)*$O$7,2)))</f>
        <v/>
      </c>
      <c r="O232">
        <f>IF(B232="","",MAX($O$12:O231)+1)</f>
        <v/>
      </c>
      <c r="P232">
        <f>IF(AND(B232="",G232&lt;&gt;""),1,0)</f>
        <v/>
      </c>
    </row>
    <row r="233">
      <c r="A233" s="21" t="n"/>
      <c r="B233" s="21" t="n"/>
      <c r="C233" s="21" t="n"/>
      <c r="D233" s="22" t="n"/>
      <c r="E233" s="21" t="n"/>
      <c r="F233" s="23" t="n"/>
      <c r="G233" s="24" t="n"/>
      <c r="H233" s="25" t="n"/>
      <c r="I233" s="26">
        <f>IF(OR(NOT(ISNUMBER(G233)),N(D233)&lt;=1),"",ROUND(G233/D233,3))</f>
        <v/>
      </c>
      <c r="J233" s="27">
        <f>IF(G233="","",IF(NOT(ISNUMBER(G233)),"Revisa",IF(H233="","Falta IVA",ROUND(G233*(1+H233/100),2))))</f>
        <v/>
      </c>
      <c r="K233" s="27">
        <f>IF(G233="","",IF(NOT(ISNUMBER(G233)),"Revisa",IF(H233="","Falta IVA",ROUND(G233*(1+(H233+IF(H233=21,5.2,IF(H233=10,1.4,IF(H233=4,0.5,0))))/100),2))))</f>
        <v/>
      </c>
      <c r="L233" s="27">
        <f>IF(G233="","",IF(NOT(ISNUMBER(G233)),"Revisa",ROUND(ROUND(G233*(1+N($K$8)/100)/$O$7,0)*$O$7,2)))</f>
        <v/>
      </c>
      <c r="M233" s="27">
        <f>IF(G233="","",IF(NOT(ISNUMBER(G233)),"Revisa",ROUND(ROUND(G233*(1+N($K$9)/100)/$O$7,0)*$O$7,2)))</f>
        <v/>
      </c>
      <c r="N233" s="27">
        <f>IF(G233="","",IF(NOT(ISNUMBER(G233)),"Revisa",ROUND(ROUND(G233*(1+N($K$10)/100)/$O$7,0)*$O$7,2)))</f>
        <v/>
      </c>
      <c r="O233">
        <f>IF(B233="","",MAX($O$12:O232)+1)</f>
        <v/>
      </c>
      <c r="P233">
        <f>IF(AND(B233="",G233&lt;&gt;""),1,0)</f>
        <v/>
      </c>
    </row>
    <row r="234">
      <c r="A234" s="21" t="n"/>
      <c r="B234" s="21" t="n"/>
      <c r="C234" s="21" t="n"/>
      <c r="D234" s="22" t="n"/>
      <c r="E234" s="21" t="n"/>
      <c r="F234" s="23" t="n"/>
      <c r="G234" s="24" t="n"/>
      <c r="H234" s="25" t="n"/>
      <c r="I234" s="26">
        <f>IF(OR(NOT(ISNUMBER(G234)),N(D234)&lt;=1),"",ROUND(G234/D234,3))</f>
        <v/>
      </c>
      <c r="J234" s="27">
        <f>IF(G234="","",IF(NOT(ISNUMBER(G234)),"Revisa",IF(H234="","Falta IVA",ROUND(G234*(1+H234/100),2))))</f>
        <v/>
      </c>
      <c r="K234" s="27">
        <f>IF(G234="","",IF(NOT(ISNUMBER(G234)),"Revisa",IF(H234="","Falta IVA",ROUND(G234*(1+(H234+IF(H234=21,5.2,IF(H234=10,1.4,IF(H234=4,0.5,0))))/100),2))))</f>
        <v/>
      </c>
      <c r="L234" s="27">
        <f>IF(G234="","",IF(NOT(ISNUMBER(G234)),"Revisa",ROUND(ROUND(G234*(1+N($K$8)/100)/$O$7,0)*$O$7,2)))</f>
        <v/>
      </c>
      <c r="M234" s="27">
        <f>IF(G234="","",IF(NOT(ISNUMBER(G234)),"Revisa",ROUND(ROUND(G234*(1+N($K$9)/100)/$O$7,0)*$O$7,2)))</f>
        <v/>
      </c>
      <c r="N234" s="27">
        <f>IF(G234="","",IF(NOT(ISNUMBER(G234)),"Revisa",ROUND(ROUND(G234*(1+N($K$10)/100)/$O$7,0)*$O$7,2)))</f>
        <v/>
      </c>
      <c r="O234">
        <f>IF(B234="","",MAX($O$12:O233)+1)</f>
        <v/>
      </c>
      <c r="P234">
        <f>IF(AND(B234="",G234&lt;&gt;""),1,0)</f>
        <v/>
      </c>
    </row>
    <row r="235">
      <c r="A235" s="21" t="n"/>
      <c r="B235" s="21" t="n"/>
      <c r="C235" s="21" t="n"/>
      <c r="D235" s="22" t="n"/>
      <c r="E235" s="21" t="n"/>
      <c r="F235" s="23" t="n"/>
      <c r="G235" s="24" t="n"/>
      <c r="H235" s="25" t="n"/>
      <c r="I235" s="26">
        <f>IF(OR(NOT(ISNUMBER(G235)),N(D235)&lt;=1),"",ROUND(G235/D235,3))</f>
        <v/>
      </c>
      <c r="J235" s="27">
        <f>IF(G235="","",IF(NOT(ISNUMBER(G235)),"Revisa",IF(H235="","Falta IVA",ROUND(G235*(1+H235/100),2))))</f>
        <v/>
      </c>
      <c r="K235" s="27">
        <f>IF(G235="","",IF(NOT(ISNUMBER(G235)),"Revisa",IF(H235="","Falta IVA",ROUND(G235*(1+(H235+IF(H235=21,5.2,IF(H235=10,1.4,IF(H235=4,0.5,0))))/100),2))))</f>
        <v/>
      </c>
      <c r="L235" s="27">
        <f>IF(G235="","",IF(NOT(ISNUMBER(G235)),"Revisa",ROUND(ROUND(G235*(1+N($K$8)/100)/$O$7,0)*$O$7,2)))</f>
        <v/>
      </c>
      <c r="M235" s="27">
        <f>IF(G235="","",IF(NOT(ISNUMBER(G235)),"Revisa",ROUND(ROUND(G235*(1+N($K$9)/100)/$O$7,0)*$O$7,2)))</f>
        <v/>
      </c>
      <c r="N235" s="27">
        <f>IF(G235="","",IF(NOT(ISNUMBER(G235)),"Revisa",ROUND(ROUND(G235*(1+N($K$10)/100)/$O$7,0)*$O$7,2)))</f>
        <v/>
      </c>
      <c r="O235">
        <f>IF(B235="","",MAX($O$12:O234)+1)</f>
        <v/>
      </c>
      <c r="P235">
        <f>IF(AND(B235="",G235&lt;&gt;""),1,0)</f>
        <v/>
      </c>
    </row>
    <row r="236">
      <c r="A236" s="21" t="n"/>
      <c r="B236" s="21" t="n"/>
      <c r="C236" s="21" t="n"/>
      <c r="D236" s="22" t="n"/>
      <c r="E236" s="21" t="n"/>
      <c r="F236" s="23" t="n"/>
      <c r="G236" s="24" t="n"/>
      <c r="H236" s="25" t="n"/>
      <c r="I236" s="26">
        <f>IF(OR(NOT(ISNUMBER(G236)),N(D236)&lt;=1),"",ROUND(G236/D236,3))</f>
        <v/>
      </c>
      <c r="J236" s="27">
        <f>IF(G236="","",IF(NOT(ISNUMBER(G236)),"Revisa",IF(H236="","Falta IVA",ROUND(G236*(1+H236/100),2))))</f>
        <v/>
      </c>
      <c r="K236" s="27">
        <f>IF(G236="","",IF(NOT(ISNUMBER(G236)),"Revisa",IF(H236="","Falta IVA",ROUND(G236*(1+(H236+IF(H236=21,5.2,IF(H236=10,1.4,IF(H236=4,0.5,0))))/100),2))))</f>
        <v/>
      </c>
      <c r="L236" s="27">
        <f>IF(G236="","",IF(NOT(ISNUMBER(G236)),"Revisa",ROUND(ROUND(G236*(1+N($K$8)/100)/$O$7,0)*$O$7,2)))</f>
        <v/>
      </c>
      <c r="M236" s="27">
        <f>IF(G236="","",IF(NOT(ISNUMBER(G236)),"Revisa",ROUND(ROUND(G236*(1+N($K$9)/100)/$O$7,0)*$O$7,2)))</f>
        <v/>
      </c>
      <c r="N236" s="27">
        <f>IF(G236="","",IF(NOT(ISNUMBER(G236)),"Revisa",ROUND(ROUND(G236*(1+N($K$10)/100)/$O$7,0)*$O$7,2)))</f>
        <v/>
      </c>
      <c r="O236">
        <f>IF(B236="","",MAX($O$12:O235)+1)</f>
        <v/>
      </c>
      <c r="P236">
        <f>IF(AND(B236="",G236&lt;&gt;""),1,0)</f>
        <v/>
      </c>
    </row>
    <row r="237">
      <c r="A237" s="21" t="n"/>
      <c r="B237" s="21" t="n"/>
      <c r="C237" s="21" t="n"/>
      <c r="D237" s="22" t="n"/>
      <c r="E237" s="21" t="n"/>
      <c r="F237" s="23" t="n"/>
      <c r="G237" s="24" t="n"/>
      <c r="H237" s="25" t="n"/>
      <c r="I237" s="26">
        <f>IF(OR(NOT(ISNUMBER(G237)),N(D237)&lt;=1),"",ROUND(G237/D237,3))</f>
        <v/>
      </c>
      <c r="J237" s="27">
        <f>IF(G237="","",IF(NOT(ISNUMBER(G237)),"Revisa",IF(H237="","Falta IVA",ROUND(G237*(1+H237/100),2))))</f>
        <v/>
      </c>
      <c r="K237" s="27">
        <f>IF(G237="","",IF(NOT(ISNUMBER(G237)),"Revisa",IF(H237="","Falta IVA",ROUND(G237*(1+(H237+IF(H237=21,5.2,IF(H237=10,1.4,IF(H237=4,0.5,0))))/100),2))))</f>
        <v/>
      </c>
      <c r="L237" s="27">
        <f>IF(G237="","",IF(NOT(ISNUMBER(G237)),"Revisa",ROUND(ROUND(G237*(1+N($K$8)/100)/$O$7,0)*$O$7,2)))</f>
        <v/>
      </c>
      <c r="M237" s="27">
        <f>IF(G237="","",IF(NOT(ISNUMBER(G237)),"Revisa",ROUND(ROUND(G237*(1+N($K$9)/100)/$O$7,0)*$O$7,2)))</f>
        <v/>
      </c>
      <c r="N237" s="27">
        <f>IF(G237="","",IF(NOT(ISNUMBER(G237)),"Revisa",ROUND(ROUND(G237*(1+N($K$10)/100)/$O$7,0)*$O$7,2)))</f>
        <v/>
      </c>
      <c r="O237">
        <f>IF(B237="","",MAX($O$12:O236)+1)</f>
        <v/>
      </c>
      <c r="P237">
        <f>IF(AND(B237="",G237&lt;&gt;""),1,0)</f>
        <v/>
      </c>
    </row>
    <row r="238">
      <c r="A238" s="21" t="n"/>
      <c r="B238" s="21" t="n"/>
      <c r="C238" s="21" t="n"/>
      <c r="D238" s="22" t="n"/>
      <c r="E238" s="21" t="n"/>
      <c r="F238" s="23" t="n"/>
      <c r="G238" s="24" t="n"/>
      <c r="H238" s="25" t="n"/>
      <c r="I238" s="26">
        <f>IF(OR(NOT(ISNUMBER(G238)),N(D238)&lt;=1),"",ROUND(G238/D238,3))</f>
        <v/>
      </c>
      <c r="J238" s="27">
        <f>IF(G238="","",IF(NOT(ISNUMBER(G238)),"Revisa",IF(H238="","Falta IVA",ROUND(G238*(1+H238/100),2))))</f>
        <v/>
      </c>
      <c r="K238" s="27">
        <f>IF(G238="","",IF(NOT(ISNUMBER(G238)),"Revisa",IF(H238="","Falta IVA",ROUND(G238*(1+(H238+IF(H238=21,5.2,IF(H238=10,1.4,IF(H238=4,0.5,0))))/100),2))))</f>
        <v/>
      </c>
      <c r="L238" s="27">
        <f>IF(G238="","",IF(NOT(ISNUMBER(G238)),"Revisa",ROUND(ROUND(G238*(1+N($K$8)/100)/$O$7,0)*$O$7,2)))</f>
        <v/>
      </c>
      <c r="M238" s="27">
        <f>IF(G238="","",IF(NOT(ISNUMBER(G238)),"Revisa",ROUND(ROUND(G238*(1+N($K$9)/100)/$O$7,0)*$O$7,2)))</f>
        <v/>
      </c>
      <c r="N238" s="27">
        <f>IF(G238="","",IF(NOT(ISNUMBER(G238)),"Revisa",ROUND(ROUND(G238*(1+N($K$10)/100)/$O$7,0)*$O$7,2)))</f>
        <v/>
      </c>
      <c r="O238">
        <f>IF(B238="","",MAX($O$12:O237)+1)</f>
        <v/>
      </c>
      <c r="P238">
        <f>IF(AND(B238="",G238&lt;&gt;""),1,0)</f>
        <v/>
      </c>
    </row>
    <row r="239">
      <c r="A239" s="21" t="n"/>
      <c r="B239" s="21" t="n"/>
      <c r="C239" s="21" t="n"/>
      <c r="D239" s="22" t="n"/>
      <c r="E239" s="21" t="n"/>
      <c r="F239" s="23" t="n"/>
      <c r="G239" s="24" t="n"/>
      <c r="H239" s="25" t="n"/>
      <c r="I239" s="26">
        <f>IF(OR(NOT(ISNUMBER(G239)),N(D239)&lt;=1),"",ROUND(G239/D239,3))</f>
        <v/>
      </c>
      <c r="J239" s="27">
        <f>IF(G239="","",IF(NOT(ISNUMBER(G239)),"Revisa",IF(H239="","Falta IVA",ROUND(G239*(1+H239/100),2))))</f>
        <v/>
      </c>
      <c r="K239" s="27">
        <f>IF(G239="","",IF(NOT(ISNUMBER(G239)),"Revisa",IF(H239="","Falta IVA",ROUND(G239*(1+(H239+IF(H239=21,5.2,IF(H239=10,1.4,IF(H239=4,0.5,0))))/100),2))))</f>
        <v/>
      </c>
      <c r="L239" s="27">
        <f>IF(G239="","",IF(NOT(ISNUMBER(G239)),"Revisa",ROUND(ROUND(G239*(1+N($K$8)/100)/$O$7,0)*$O$7,2)))</f>
        <v/>
      </c>
      <c r="M239" s="27">
        <f>IF(G239="","",IF(NOT(ISNUMBER(G239)),"Revisa",ROUND(ROUND(G239*(1+N($K$9)/100)/$O$7,0)*$O$7,2)))</f>
        <v/>
      </c>
      <c r="N239" s="27">
        <f>IF(G239="","",IF(NOT(ISNUMBER(G239)),"Revisa",ROUND(ROUND(G239*(1+N($K$10)/100)/$O$7,0)*$O$7,2)))</f>
        <v/>
      </c>
      <c r="O239">
        <f>IF(B239="","",MAX($O$12:O238)+1)</f>
        <v/>
      </c>
      <c r="P239">
        <f>IF(AND(B239="",G239&lt;&gt;""),1,0)</f>
        <v/>
      </c>
    </row>
    <row r="240">
      <c r="A240" s="21" t="n"/>
      <c r="B240" s="21" t="n"/>
      <c r="C240" s="21" t="n"/>
      <c r="D240" s="22" t="n"/>
      <c r="E240" s="21" t="n"/>
      <c r="F240" s="23" t="n"/>
      <c r="G240" s="24" t="n"/>
      <c r="H240" s="25" t="n"/>
      <c r="I240" s="26">
        <f>IF(OR(NOT(ISNUMBER(G240)),N(D240)&lt;=1),"",ROUND(G240/D240,3))</f>
        <v/>
      </c>
      <c r="J240" s="27">
        <f>IF(G240="","",IF(NOT(ISNUMBER(G240)),"Revisa",IF(H240="","Falta IVA",ROUND(G240*(1+H240/100),2))))</f>
        <v/>
      </c>
      <c r="K240" s="27">
        <f>IF(G240="","",IF(NOT(ISNUMBER(G240)),"Revisa",IF(H240="","Falta IVA",ROUND(G240*(1+(H240+IF(H240=21,5.2,IF(H240=10,1.4,IF(H240=4,0.5,0))))/100),2))))</f>
        <v/>
      </c>
      <c r="L240" s="27">
        <f>IF(G240="","",IF(NOT(ISNUMBER(G240)),"Revisa",ROUND(ROUND(G240*(1+N($K$8)/100)/$O$7,0)*$O$7,2)))</f>
        <v/>
      </c>
      <c r="M240" s="27">
        <f>IF(G240="","",IF(NOT(ISNUMBER(G240)),"Revisa",ROUND(ROUND(G240*(1+N($K$9)/100)/$O$7,0)*$O$7,2)))</f>
        <v/>
      </c>
      <c r="N240" s="27">
        <f>IF(G240="","",IF(NOT(ISNUMBER(G240)),"Revisa",ROUND(ROUND(G240*(1+N($K$10)/100)/$O$7,0)*$O$7,2)))</f>
        <v/>
      </c>
      <c r="O240">
        <f>IF(B240="","",MAX($O$12:O239)+1)</f>
        <v/>
      </c>
      <c r="P240">
        <f>IF(AND(B240="",G240&lt;&gt;""),1,0)</f>
        <v/>
      </c>
    </row>
    <row r="241">
      <c r="A241" s="21" t="n"/>
      <c r="B241" s="21" t="n"/>
      <c r="C241" s="21" t="n"/>
      <c r="D241" s="22" t="n"/>
      <c r="E241" s="21" t="n"/>
      <c r="F241" s="23" t="n"/>
      <c r="G241" s="24" t="n"/>
      <c r="H241" s="25" t="n"/>
      <c r="I241" s="26">
        <f>IF(OR(NOT(ISNUMBER(G241)),N(D241)&lt;=1),"",ROUND(G241/D241,3))</f>
        <v/>
      </c>
      <c r="J241" s="27">
        <f>IF(G241="","",IF(NOT(ISNUMBER(G241)),"Revisa",IF(H241="","Falta IVA",ROUND(G241*(1+H241/100),2))))</f>
        <v/>
      </c>
      <c r="K241" s="27">
        <f>IF(G241="","",IF(NOT(ISNUMBER(G241)),"Revisa",IF(H241="","Falta IVA",ROUND(G241*(1+(H241+IF(H241=21,5.2,IF(H241=10,1.4,IF(H241=4,0.5,0))))/100),2))))</f>
        <v/>
      </c>
      <c r="L241" s="27">
        <f>IF(G241="","",IF(NOT(ISNUMBER(G241)),"Revisa",ROUND(ROUND(G241*(1+N($K$8)/100)/$O$7,0)*$O$7,2)))</f>
        <v/>
      </c>
      <c r="M241" s="27">
        <f>IF(G241="","",IF(NOT(ISNUMBER(G241)),"Revisa",ROUND(ROUND(G241*(1+N($K$9)/100)/$O$7,0)*$O$7,2)))</f>
        <v/>
      </c>
      <c r="N241" s="27">
        <f>IF(G241="","",IF(NOT(ISNUMBER(G241)),"Revisa",ROUND(ROUND(G241*(1+N($K$10)/100)/$O$7,0)*$O$7,2)))</f>
        <v/>
      </c>
      <c r="O241">
        <f>IF(B241="","",MAX($O$12:O240)+1)</f>
        <v/>
      </c>
      <c r="P241">
        <f>IF(AND(B241="",G241&lt;&gt;""),1,0)</f>
        <v/>
      </c>
    </row>
    <row r="242">
      <c r="A242" s="21" t="n"/>
      <c r="B242" s="21" t="n"/>
      <c r="C242" s="21" t="n"/>
      <c r="D242" s="22" t="n"/>
      <c r="E242" s="21" t="n"/>
      <c r="F242" s="23" t="n"/>
      <c r="G242" s="24" t="n"/>
      <c r="H242" s="25" t="n"/>
      <c r="I242" s="26">
        <f>IF(OR(NOT(ISNUMBER(G242)),N(D242)&lt;=1),"",ROUND(G242/D242,3))</f>
        <v/>
      </c>
      <c r="J242" s="27">
        <f>IF(G242="","",IF(NOT(ISNUMBER(G242)),"Revisa",IF(H242="","Falta IVA",ROUND(G242*(1+H242/100),2))))</f>
        <v/>
      </c>
      <c r="K242" s="27">
        <f>IF(G242="","",IF(NOT(ISNUMBER(G242)),"Revisa",IF(H242="","Falta IVA",ROUND(G242*(1+(H242+IF(H242=21,5.2,IF(H242=10,1.4,IF(H242=4,0.5,0))))/100),2))))</f>
        <v/>
      </c>
      <c r="L242" s="27">
        <f>IF(G242="","",IF(NOT(ISNUMBER(G242)),"Revisa",ROUND(ROUND(G242*(1+N($K$8)/100)/$O$7,0)*$O$7,2)))</f>
        <v/>
      </c>
      <c r="M242" s="27">
        <f>IF(G242="","",IF(NOT(ISNUMBER(G242)),"Revisa",ROUND(ROUND(G242*(1+N($K$9)/100)/$O$7,0)*$O$7,2)))</f>
        <v/>
      </c>
      <c r="N242" s="27">
        <f>IF(G242="","",IF(NOT(ISNUMBER(G242)),"Revisa",ROUND(ROUND(G242*(1+N($K$10)/100)/$O$7,0)*$O$7,2)))</f>
        <v/>
      </c>
      <c r="O242">
        <f>IF(B242="","",MAX($O$12:O241)+1)</f>
        <v/>
      </c>
      <c r="P242">
        <f>IF(AND(B242="",G242&lt;&gt;""),1,0)</f>
        <v/>
      </c>
    </row>
    <row r="243">
      <c r="A243" s="21" t="n"/>
      <c r="B243" s="21" t="n"/>
      <c r="C243" s="21" t="n"/>
      <c r="D243" s="22" t="n"/>
      <c r="E243" s="21" t="n"/>
      <c r="F243" s="23" t="n"/>
      <c r="G243" s="24" t="n"/>
      <c r="H243" s="25" t="n"/>
      <c r="I243" s="26">
        <f>IF(OR(NOT(ISNUMBER(G243)),N(D243)&lt;=1),"",ROUND(G243/D243,3))</f>
        <v/>
      </c>
      <c r="J243" s="27">
        <f>IF(G243="","",IF(NOT(ISNUMBER(G243)),"Revisa",IF(H243="","Falta IVA",ROUND(G243*(1+H243/100),2))))</f>
        <v/>
      </c>
      <c r="K243" s="27">
        <f>IF(G243="","",IF(NOT(ISNUMBER(G243)),"Revisa",IF(H243="","Falta IVA",ROUND(G243*(1+(H243+IF(H243=21,5.2,IF(H243=10,1.4,IF(H243=4,0.5,0))))/100),2))))</f>
        <v/>
      </c>
      <c r="L243" s="27">
        <f>IF(G243="","",IF(NOT(ISNUMBER(G243)),"Revisa",ROUND(ROUND(G243*(1+N($K$8)/100)/$O$7,0)*$O$7,2)))</f>
        <v/>
      </c>
      <c r="M243" s="27">
        <f>IF(G243="","",IF(NOT(ISNUMBER(G243)),"Revisa",ROUND(ROUND(G243*(1+N($K$9)/100)/$O$7,0)*$O$7,2)))</f>
        <v/>
      </c>
      <c r="N243" s="27">
        <f>IF(G243="","",IF(NOT(ISNUMBER(G243)),"Revisa",ROUND(ROUND(G243*(1+N($K$10)/100)/$O$7,0)*$O$7,2)))</f>
        <v/>
      </c>
      <c r="O243">
        <f>IF(B243="","",MAX($O$12:O242)+1)</f>
        <v/>
      </c>
      <c r="P243">
        <f>IF(AND(B243="",G243&lt;&gt;""),1,0)</f>
        <v/>
      </c>
    </row>
    <row r="244">
      <c r="A244" s="21" t="n"/>
      <c r="B244" s="21" t="n"/>
      <c r="C244" s="21" t="n"/>
      <c r="D244" s="22" t="n"/>
      <c r="E244" s="21" t="n"/>
      <c r="F244" s="23" t="n"/>
      <c r="G244" s="24" t="n"/>
      <c r="H244" s="25" t="n"/>
      <c r="I244" s="26">
        <f>IF(OR(NOT(ISNUMBER(G244)),N(D244)&lt;=1),"",ROUND(G244/D244,3))</f>
        <v/>
      </c>
      <c r="J244" s="27">
        <f>IF(G244="","",IF(NOT(ISNUMBER(G244)),"Revisa",IF(H244="","Falta IVA",ROUND(G244*(1+H244/100),2))))</f>
        <v/>
      </c>
      <c r="K244" s="27">
        <f>IF(G244="","",IF(NOT(ISNUMBER(G244)),"Revisa",IF(H244="","Falta IVA",ROUND(G244*(1+(H244+IF(H244=21,5.2,IF(H244=10,1.4,IF(H244=4,0.5,0))))/100),2))))</f>
        <v/>
      </c>
      <c r="L244" s="27">
        <f>IF(G244="","",IF(NOT(ISNUMBER(G244)),"Revisa",ROUND(ROUND(G244*(1+N($K$8)/100)/$O$7,0)*$O$7,2)))</f>
        <v/>
      </c>
      <c r="M244" s="27">
        <f>IF(G244="","",IF(NOT(ISNUMBER(G244)),"Revisa",ROUND(ROUND(G244*(1+N($K$9)/100)/$O$7,0)*$O$7,2)))</f>
        <v/>
      </c>
      <c r="N244" s="27">
        <f>IF(G244="","",IF(NOT(ISNUMBER(G244)),"Revisa",ROUND(ROUND(G244*(1+N($K$10)/100)/$O$7,0)*$O$7,2)))</f>
        <v/>
      </c>
      <c r="O244">
        <f>IF(B244="","",MAX($O$12:O243)+1)</f>
        <v/>
      </c>
      <c r="P244">
        <f>IF(AND(B244="",G244&lt;&gt;""),1,0)</f>
        <v/>
      </c>
    </row>
    <row r="245">
      <c r="A245" s="21" t="n"/>
      <c r="B245" s="21" t="n"/>
      <c r="C245" s="21" t="n"/>
      <c r="D245" s="22" t="n"/>
      <c r="E245" s="21" t="n"/>
      <c r="F245" s="23" t="n"/>
      <c r="G245" s="24" t="n"/>
      <c r="H245" s="25" t="n"/>
      <c r="I245" s="26">
        <f>IF(OR(NOT(ISNUMBER(G245)),N(D245)&lt;=1),"",ROUND(G245/D245,3))</f>
        <v/>
      </c>
      <c r="J245" s="27">
        <f>IF(G245="","",IF(NOT(ISNUMBER(G245)),"Revisa",IF(H245="","Falta IVA",ROUND(G245*(1+H245/100),2))))</f>
        <v/>
      </c>
      <c r="K245" s="27">
        <f>IF(G245="","",IF(NOT(ISNUMBER(G245)),"Revisa",IF(H245="","Falta IVA",ROUND(G245*(1+(H245+IF(H245=21,5.2,IF(H245=10,1.4,IF(H245=4,0.5,0))))/100),2))))</f>
        <v/>
      </c>
      <c r="L245" s="27">
        <f>IF(G245="","",IF(NOT(ISNUMBER(G245)),"Revisa",ROUND(ROUND(G245*(1+N($K$8)/100)/$O$7,0)*$O$7,2)))</f>
        <v/>
      </c>
      <c r="M245" s="27">
        <f>IF(G245="","",IF(NOT(ISNUMBER(G245)),"Revisa",ROUND(ROUND(G245*(1+N($K$9)/100)/$O$7,0)*$O$7,2)))</f>
        <v/>
      </c>
      <c r="N245" s="27">
        <f>IF(G245="","",IF(NOT(ISNUMBER(G245)),"Revisa",ROUND(ROUND(G245*(1+N($K$10)/100)/$O$7,0)*$O$7,2)))</f>
        <v/>
      </c>
      <c r="O245">
        <f>IF(B245="","",MAX($O$12:O244)+1)</f>
        <v/>
      </c>
      <c r="P245">
        <f>IF(AND(B245="",G245&lt;&gt;""),1,0)</f>
        <v/>
      </c>
    </row>
    <row r="246">
      <c r="A246" s="21" t="n"/>
      <c r="B246" s="21" t="n"/>
      <c r="C246" s="21" t="n"/>
      <c r="D246" s="22" t="n"/>
      <c r="E246" s="21" t="n"/>
      <c r="F246" s="23" t="n"/>
      <c r="G246" s="24" t="n"/>
      <c r="H246" s="25" t="n"/>
      <c r="I246" s="26">
        <f>IF(OR(NOT(ISNUMBER(G246)),N(D246)&lt;=1),"",ROUND(G246/D246,3))</f>
        <v/>
      </c>
      <c r="J246" s="27">
        <f>IF(G246="","",IF(NOT(ISNUMBER(G246)),"Revisa",IF(H246="","Falta IVA",ROUND(G246*(1+H246/100),2))))</f>
        <v/>
      </c>
      <c r="K246" s="27">
        <f>IF(G246="","",IF(NOT(ISNUMBER(G246)),"Revisa",IF(H246="","Falta IVA",ROUND(G246*(1+(H246+IF(H246=21,5.2,IF(H246=10,1.4,IF(H246=4,0.5,0))))/100),2))))</f>
        <v/>
      </c>
      <c r="L246" s="27">
        <f>IF(G246="","",IF(NOT(ISNUMBER(G246)),"Revisa",ROUND(ROUND(G246*(1+N($K$8)/100)/$O$7,0)*$O$7,2)))</f>
        <v/>
      </c>
      <c r="M246" s="27">
        <f>IF(G246="","",IF(NOT(ISNUMBER(G246)),"Revisa",ROUND(ROUND(G246*(1+N($K$9)/100)/$O$7,0)*$O$7,2)))</f>
        <v/>
      </c>
      <c r="N246" s="27">
        <f>IF(G246="","",IF(NOT(ISNUMBER(G246)),"Revisa",ROUND(ROUND(G246*(1+N($K$10)/100)/$O$7,0)*$O$7,2)))</f>
        <v/>
      </c>
      <c r="O246">
        <f>IF(B246="","",MAX($O$12:O245)+1)</f>
        <v/>
      </c>
      <c r="P246">
        <f>IF(AND(B246="",G246&lt;&gt;""),1,0)</f>
        <v/>
      </c>
    </row>
    <row r="247">
      <c r="A247" s="21" t="n"/>
      <c r="B247" s="21" t="n"/>
      <c r="C247" s="21" t="n"/>
      <c r="D247" s="22" t="n"/>
      <c r="E247" s="21" t="n"/>
      <c r="F247" s="23" t="n"/>
      <c r="G247" s="24" t="n"/>
      <c r="H247" s="25" t="n"/>
      <c r="I247" s="26">
        <f>IF(OR(NOT(ISNUMBER(G247)),N(D247)&lt;=1),"",ROUND(G247/D247,3))</f>
        <v/>
      </c>
      <c r="J247" s="27">
        <f>IF(G247="","",IF(NOT(ISNUMBER(G247)),"Revisa",IF(H247="","Falta IVA",ROUND(G247*(1+H247/100),2))))</f>
        <v/>
      </c>
      <c r="K247" s="27">
        <f>IF(G247="","",IF(NOT(ISNUMBER(G247)),"Revisa",IF(H247="","Falta IVA",ROUND(G247*(1+(H247+IF(H247=21,5.2,IF(H247=10,1.4,IF(H247=4,0.5,0))))/100),2))))</f>
        <v/>
      </c>
      <c r="L247" s="27">
        <f>IF(G247="","",IF(NOT(ISNUMBER(G247)),"Revisa",ROUND(ROUND(G247*(1+N($K$8)/100)/$O$7,0)*$O$7,2)))</f>
        <v/>
      </c>
      <c r="M247" s="27">
        <f>IF(G247="","",IF(NOT(ISNUMBER(G247)),"Revisa",ROUND(ROUND(G247*(1+N($K$9)/100)/$O$7,0)*$O$7,2)))</f>
        <v/>
      </c>
      <c r="N247" s="27">
        <f>IF(G247="","",IF(NOT(ISNUMBER(G247)),"Revisa",ROUND(ROUND(G247*(1+N($K$10)/100)/$O$7,0)*$O$7,2)))</f>
        <v/>
      </c>
      <c r="O247">
        <f>IF(B247="","",MAX($O$12:O246)+1)</f>
        <v/>
      </c>
      <c r="P247">
        <f>IF(AND(B247="",G247&lt;&gt;""),1,0)</f>
        <v/>
      </c>
    </row>
    <row r="248">
      <c r="A248" s="21" t="n"/>
      <c r="B248" s="21" t="n"/>
      <c r="C248" s="21" t="n"/>
      <c r="D248" s="22" t="n"/>
      <c r="E248" s="21" t="n"/>
      <c r="F248" s="23" t="n"/>
      <c r="G248" s="24" t="n"/>
      <c r="H248" s="25" t="n"/>
      <c r="I248" s="26">
        <f>IF(OR(NOT(ISNUMBER(G248)),N(D248)&lt;=1),"",ROUND(G248/D248,3))</f>
        <v/>
      </c>
      <c r="J248" s="27">
        <f>IF(G248="","",IF(NOT(ISNUMBER(G248)),"Revisa",IF(H248="","Falta IVA",ROUND(G248*(1+H248/100),2))))</f>
        <v/>
      </c>
      <c r="K248" s="27">
        <f>IF(G248="","",IF(NOT(ISNUMBER(G248)),"Revisa",IF(H248="","Falta IVA",ROUND(G248*(1+(H248+IF(H248=21,5.2,IF(H248=10,1.4,IF(H248=4,0.5,0))))/100),2))))</f>
        <v/>
      </c>
      <c r="L248" s="27">
        <f>IF(G248="","",IF(NOT(ISNUMBER(G248)),"Revisa",ROUND(ROUND(G248*(1+N($K$8)/100)/$O$7,0)*$O$7,2)))</f>
        <v/>
      </c>
      <c r="M248" s="27">
        <f>IF(G248="","",IF(NOT(ISNUMBER(G248)),"Revisa",ROUND(ROUND(G248*(1+N($K$9)/100)/$O$7,0)*$O$7,2)))</f>
        <v/>
      </c>
      <c r="N248" s="27">
        <f>IF(G248="","",IF(NOT(ISNUMBER(G248)),"Revisa",ROUND(ROUND(G248*(1+N($K$10)/100)/$O$7,0)*$O$7,2)))</f>
        <v/>
      </c>
      <c r="O248">
        <f>IF(B248="","",MAX($O$12:O247)+1)</f>
        <v/>
      </c>
      <c r="P248">
        <f>IF(AND(B248="",G248&lt;&gt;""),1,0)</f>
        <v/>
      </c>
    </row>
    <row r="249">
      <c r="A249" s="21" t="n"/>
      <c r="B249" s="21" t="n"/>
      <c r="C249" s="21" t="n"/>
      <c r="D249" s="22" t="n"/>
      <c r="E249" s="21" t="n"/>
      <c r="F249" s="23" t="n"/>
      <c r="G249" s="24" t="n"/>
      <c r="H249" s="25" t="n"/>
      <c r="I249" s="26">
        <f>IF(OR(NOT(ISNUMBER(G249)),N(D249)&lt;=1),"",ROUND(G249/D249,3))</f>
        <v/>
      </c>
      <c r="J249" s="27">
        <f>IF(G249="","",IF(NOT(ISNUMBER(G249)),"Revisa",IF(H249="","Falta IVA",ROUND(G249*(1+H249/100),2))))</f>
        <v/>
      </c>
      <c r="K249" s="27">
        <f>IF(G249="","",IF(NOT(ISNUMBER(G249)),"Revisa",IF(H249="","Falta IVA",ROUND(G249*(1+(H249+IF(H249=21,5.2,IF(H249=10,1.4,IF(H249=4,0.5,0))))/100),2))))</f>
        <v/>
      </c>
      <c r="L249" s="27">
        <f>IF(G249="","",IF(NOT(ISNUMBER(G249)),"Revisa",ROUND(ROUND(G249*(1+N($K$8)/100)/$O$7,0)*$O$7,2)))</f>
        <v/>
      </c>
      <c r="M249" s="27">
        <f>IF(G249="","",IF(NOT(ISNUMBER(G249)),"Revisa",ROUND(ROUND(G249*(1+N($K$9)/100)/$O$7,0)*$O$7,2)))</f>
        <v/>
      </c>
      <c r="N249" s="27">
        <f>IF(G249="","",IF(NOT(ISNUMBER(G249)),"Revisa",ROUND(ROUND(G249*(1+N($K$10)/100)/$O$7,0)*$O$7,2)))</f>
        <v/>
      </c>
      <c r="O249">
        <f>IF(B249="","",MAX($O$12:O248)+1)</f>
        <v/>
      </c>
      <c r="P249">
        <f>IF(AND(B249="",G249&lt;&gt;""),1,0)</f>
        <v/>
      </c>
    </row>
    <row r="250">
      <c r="A250" s="21" t="n"/>
      <c r="B250" s="21" t="n"/>
      <c r="C250" s="21" t="n"/>
      <c r="D250" s="22" t="n"/>
      <c r="E250" s="21" t="n"/>
      <c r="F250" s="23" t="n"/>
      <c r="G250" s="24" t="n"/>
      <c r="H250" s="25" t="n"/>
      <c r="I250" s="26">
        <f>IF(OR(NOT(ISNUMBER(G250)),N(D250)&lt;=1),"",ROUND(G250/D250,3))</f>
        <v/>
      </c>
      <c r="J250" s="27">
        <f>IF(G250="","",IF(NOT(ISNUMBER(G250)),"Revisa",IF(H250="","Falta IVA",ROUND(G250*(1+H250/100),2))))</f>
        <v/>
      </c>
      <c r="K250" s="27">
        <f>IF(G250="","",IF(NOT(ISNUMBER(G250)),"Revisa",IF(H250="","Falta IVA",ROUND(G250*(1+(H250+IF(H250=21,5.2,IF(H250=10,1.4,IF(H250=4,0.5,0))))/100),2))))</f>
        <v/>
      </c>
      <c r="L250" s="27">
        <f>IF(G250="","",IF(NOT(ISNUMBER(G250)),"Revisa",ROUND(ROUND(G250*(1+N($K$8)/100)/$O$7,0)*$O$7,2)))</f>
        <v/>
      </c>
      <c r="M250" s="27">
        <f>IF(G250="","",IF(NOT(ISNUMBER(G250)),"Revisa",ROUND(ROUND(G250*(1+N($K$9)/100)/$O$7,0)*$O$7,2)))</f>
        <v/>
      </c>
      <c r="N250" s="27">
        <f>IF(G250="","",IF(NOT(ISNUMBER(G250)),"Revisa",ROUND(ROUND(G250*(1+N($K$10)/100)/$O$7,0)*$O$7,2)))</f>
        <v/>
      </c>
      <c r="O250">
        <f>IF(B250="","",MAX($O$12:O249)+1)</f>
        <v/>
      </c>
      <c r="P250">
        <f>IF(AND(B250="",G250&lt;&gt;""),1,0)</f>
        <v/>
      </c>
    </row>
    <row r="251">
      <c r="A251" s="21" t="n"/>
      <c r="B251" s="21" t="n"/>
      <c r="C251" s="21" t="n"/>
      <c r="D251" s="22" t="n"/>
      <c r="E251" s="21" t="n"/>
      <c r="F251" s="23" t="n"/>
      <c r="G251" s="24" t="n"/>
      <c r="H251" s="25" t="n"/>
      <c r="I251" s="26">
        <f>IF(OR(NOT(ISNUMBER(G251)),N(D251)&lt;=1),"",ROUND(G251/D251,3))</f>
        <v/>
      </c>
      <c r="J251" s="27">
        <f>IF(G251="","",IF(NOT(ISNUMBER(G251)),"Revisa",IF(H251="","Falta IVA",ROUND(G251*(1+H251/100),2))))</f>
        <v/>
      </c>
      <c r="K251" s="27">
        <f>IF(G251="","",IF(NOT(ISNUMBER(G251)),"Revisa",IF(H251="","Falta IVA",ROUND(G251*(1+(H251+IF(H251=21,5.2,IF(H251=10,1.4,IF(H251=4,0.5,0))))/100),2))))</f>
        <v/>
      </c>
      <c r="L251" s="27">
        <f>IF(G251="","",IF(NOT(ISNUMBER(G251)),"Revisa",ROUND(ROUND(G251*(1+N($K$8)/100)/$O$7,0)*$O$7,2)))</f>
        <v/>
      </c>
      <c r="M251" s="27">
        <f>IF(G251="","",IF(NOT(ISNUMBER(G251)),"Revisa",ROUND(ROUND(G251*(1+N($K$9)/100)/$O$7,0)*$O$7,2)))</f>
        <v/>
      </c>
      <c r="N251" s="27">
        <f>IF(G251="","",IF(NOT(ISNUMBER(G251)),"Revisa",ROUND(ROUND(G251*(1+N($K$10)/100)/$O$7,0)*$O$7,2)))</f>
        <v/>
      </c>
      <c r="O251">
        <f>IF(B251="","",MAX($O$12:O250)+1)</f>
        <v/>
      </c>
      <c r="P251">
        <f>IF(AND(B251="",G251&lt;&gt;""),1,0)</f>
        <v/>
      </c>
    </row>
    <row r="252">
      <c r="A252" s="21" t="n"/>
      <c r="B252" s="21" t="n"/>
      <c r="C252" s="21" t="n"/>
      <c r="D252" s="22" t="n"/>
      <c r="E252" s="21" t="n"/>
      <c r="F252" s="23" t="n"/>
      <c r="G252" s="24" t="n"/>
      <c r="H252" s="25" t="n"/>
      <c r="I252" s="26">
        <f>IF(OR(NOT(ISNUMBER(G252)),N(D252)&lt;=1),"",ROUND(G252/D252,3))</f>
        <v/>
      </c>
      <c r="J252" s="27">
        <f>IF(G252="","",IF(NOT(ISNUMBER(G252)),"Revisa",IF(H252="","Falta IVA",ROUND(G252*(1+H252/100),2))))</f>
        <v/>
      </c>
      <c r="K252" s="27">
        <f>IF(G252="","",IF(NOT(ISNUMBER(G252)),"Revisa",IF(H252="","Falta IVA",ROUND(G252*(1+(H252+IF(H252=21,5.2,IF(H252=10,1.4,IF(H252=4,0.5,0))))/100),2))))</f>
        <v/>
      </c>
      <c r="L252" s="27">
        <f>IF(G252="","",IF(NOT(ISNUMBER(G252)),"Revisa",ROUND(ROUND(G252*(1+N($K$8)/100)/$O$7,0)*$O$7,2)))</f>
        <v/>
      </c>
      <c r="M252" s="27">
        <f>IF(G252="","",IF(NOT(ISNUMBER(G252)),"Revisa",ROUND(ROUND(G252*(1+N($K$9)/100)/$O$7,0)*$O$7,2)))</f>
        <v/>
      </c>
      <c r="N252" s="27">
        <f>IF(G252="","",IF(NOT(ISNUMBER(G252)),"Revisa",ROUND(ROUND(G252*(1+N($K$10)/100)/$O$7,0)*$O$7,2)))</f>
        <v/>
      </c>
      <c r="O252">
        <f>IF(B252="","",MAX($O$12:O251)+1)</f>
        <v/>
      </c>
      <c r="P252">
        <f>IF(AND(B252="",G252&lt;&gt;""),1,0)</f>
        <v/>
      </c>
    </row>
    <row r="253">
      <c r="A253" s="21" t="n"/>
      <c r="B253" s="21" t="n"/>
      <c r="C253" s="21" t="n"/>
      <c r="D253" s="22" t="n"/>
      <c r="E253" s="21" t="n"/>
      <c r="F253" s="23" t="n"/>
      <c r="G253" s="24" t="n"/>
      <c r="H253" s="25" t="n"/>
      <c r="I253" s="26">
        <f>IF(OR(NOT(ISNUMBER(G253)),N(D253)&lt;=1),"",ROUND(G253/D253,3))</f>
        <v/>
      </c>
      <c r="J253" s="27">
        <f>IF(G253="","",IF(NOT(ISNUMBER(G253)),"Revisa",IF(H253="","Falta IVA",ROUND(G253*(1+H253/100),2))))</f>
        <v/>
      </c>
      <c r="K253" s="27">
        <f>IF(G253="","",IF(NOT(ISNUMBER(G253)),"Revisa",IF(H253="","Falta IVA",ROUND(G253*(1+(H253+IF(H253=21,5.2,IF(H253=10,1.4,IF(H253=4,0.5,0))))/100),2))))</f>
        <v/>
      </c>
      <c r="L253" s="27">
        <f>IF(G253="","",IF(NOT(ISNUMBER(G253)),"Revisa",ROUND(ROUND(G253*(1+N($K$8)/100)/$O$7,0)*$O$7,2)))</f>
        <v/>
      </c>
      <c r="M253" s="27">
        <f>IF(G253="","",IF(NOT(ISNUMBER(G253)),"Revisa",ROUND(ROUND(G253*(1+N($K$9)/100)/$O$7,0)*$O$7,2)))</f>
        <v/>
      </c>
      <c r="N253" s="27">
        <f>IF(G253="","",IF(NOT(ISNUMBER(G253)),"Revisa",ROUND(ROUND(G253*(1+N($K$10)/100)/$O$7,0)*$O$7,2)))</f>
        <v/>
      </c>
      <c r="O253">
        <f>IF(B253="","",MAX($O$12:O252)+1)</f>
        <v/>
      </c>
      <c r="P253">
        <f>IF(AND(B253="",G253&lt;&gt;""),1,0)</f>
        <v/>
      </c>
    </row>
    <row r="254">
      <c r="A254" s="21" t="n"/>
      <c r="B254" s="21" t="n"/>
      <c r="C254" s="21" t="n"/>
      <c r="D254" s="22" t="n"/>
      <c r="E254" s="21" t="n"/>
      <c r="F254" s="23" t="n"/>
      <c r="G254" s="24" t="n"/>
      <c r="H254" s="25" t="n"/>
      <c r="I254" s="26">
        <f>IF(OR(NOT(ISNUMBER(G254)),N(D254)&lt;=1),"",ROUND(G254/D254,3))</f>
        <v/>
      </c>
      <c r="J254" s="27">
        <f>IF(G254="","",IF(NOT(ISNUMBER(G254)),"Revisa",IF(H254="","Falta IVA",ROUND(G254*(1+H254/100),2))))</f>
        <v/>
      </c>
      <c r="K254" s="27">
        <f>IF(G254="","",IF(NOT(ISNUMBER(G254)),"Revisa",IF(H254="","Falta IVA",ROUND(G254*(1+(H254+IF(H254=21,5.2,IF(H254=10,1.4,IF(H254=4,0.5,0))))/100),2))))</f>
        <v/>
      </c>
      <c r="L254" s="27">
        <f>IF(G254="","",IF(NOT(ISNUMBER(G254)),"Revisa",ROUND(ROUND(G254*(1+N($K$8)/100)/$O$7,0)*$O$7,2)))</f>
        <v/>
      </c>
      <c r="M254" s="27">
        <f>IF(G254="","",IF(NOT(ISNUMBER(G254)),"Revisa",ROUND(ROUND(G254*(1+N($K$9)/100)/$O$7,0)*$O$7,2)))</f>
        <v/>
      </c>
      <c r="N254" s="27">
        <f>IF(G254="","",IF(NOT(ISNUMBER(G254)),"Revisa",ROUND(ROUND(G254*(1+N($K$10)/100)/$O$7,0)*$O$7,2)))</f>
        <v/>
      </c>
      <c r="O254">
        <f>IF(B254="","",MAX($O$12:O253)+1)</f>
        <v/>
      </c>
      <c r="P254">
        <f>IF(AND(B254="",G254&lt;&gt;""),1,0)</f>
        <v/>
      </c>
    </row>
    <row r="255">
      <c r="A255" s="21" t="n"/>
      <c r="B255" s="21" t="n"/>
      <c r="C255" s="21" t="n"/>
      <c r="D255" s="22" t="n"/>
      <c r="E255" s="21" t="n"/>
      <c r="F255" s="23" t="n"/>
      <c r="G255" s="24" t="n"/>
      <c r="H255" s="25" t="n"/>
      <c r="I255" s="26">
        <f>IF(OR(NOT(ISNUMBER(G255)),N(D255)&lt;=1),"",ROUND(G255/D255,3))</f>
        <v/>
      </c>
      <c r="J255" s="27">
        <f>IF(G255="","",IF(NOT(ISNUMBER(G255)),"Revisa",IF(H255="","Falta IVA",ROUND(G255*(1+H255/100),2))))</f>
        <v/>
      </c>
      <c r="K255" s="27">
        <f>IF(G255="","",IF(NOT(ISNUMBER(G255)),"Revisa",IF(H255="","Falta IVA",ROUND(G255*(1+(H255+IF(H255=21,5.2,IF(H255=10,1.4,IF(H255=4,0.5,0))))/100),2))))</f>
        <v/>
      </c>
      <c r="L255" s="27">
        <f>IF(G255="","",IF(NOT(ISNUMBER(G255)),"Revisa",ROUND(ROUND(G255*(1+N($K$8)/100)/$O$7,0)*$O$7,2)))</f>
        <v/>
      </c>
      <c r="M255" s="27">
        <f>IF(G255="","",IF(NOT(ISNUMBER(G255)),"Revisa",ROUND(ROUND(G255*(1+N($K$9)/100)/$O$7,0)*$O$7,2)))</f>
        <v/>
      </c>
      <c r="N255" s="27">
        <f>IF(G255="","",IF(NOT(ISNUMBER(G255)),"Revisa",ROUND(ROUND(G255*(1+N($K$10)/100)/$O$7,0)*$O$7,2)))</f>
        <v/>
      </c>
      <c r="O255">
        <f>IF(B255="","",MAX($O$12:O254)+1)</f>
        <v/>
      </c>
      <c r="P255">
        <f>IF(AND(B255="",G255&lt;&gt;""),1,0)</f>
        <v/>
      </c>
    </row>
    <row r="256">
      <c r="A256" s="21" t="n"/>
      <c r="B256" s="21" t="n"/>
      <c r="C256" s="21" t="n"/>
      <c r="D256" s="22" t="n"/>
      <c r="E256" s="21" t="n"/>
      <c r="F256" s="23" t="n"/>
      <c r="G256" s="24" t="n"/>
      <c r="H256" s="25" t="n"/>
      <c r="I256" s="26">
        <f>IF(OR(NOT(ISNUMBER(G256)),N(D256)&lt;=1),"",ROUND(G256/D256,3))</f>
        <v/>
      </c>
      <c r="J256" s="27">
        <f>IF(G256="","",IF(NOT(ISNUMBER(G256)),"Revisa",IF(H256="","Falta IVA",ROUND(G256*(1+H256/100),2))))</f>
        <v/>
      </c>
      <c r="K256" s="27">
        <f>IF(G256="","",IF(NOT(ISNUMBER(G256)),"Revisa",IF(H256="","Falta IVA",ROUND(G256*(1+(H256+IF(H256=21,5.2,IF(H256=10,1.4,IF(H256=4,0.5,0))))/100),2))))</f>
        <v/>
      </c>
      <c r="L256" s="27">
        <f>IF(G256="","",IF(NOT(ISNUMBER(G256)),"Revisa",ROUND(ROUND(G256*(1+N($K$8)/100)/$O$7,0)*$O$7,2)))</f>
        <v/>
      </c>
      <c r="M256" s="27">
        <f>IF(G256="","",IF(NOT(ISNUMBER(G256)),"Revisa",ROUND(ROUND(G256*(1+N($K$9)/100)/$O$7,0)*$O$7,2)))</f>
        <v/>
      </c>
      <c r="N256" s="27">
        <f>IF(G256="","",IF(NOT(ISNUMBER(G256)),"Revisa",ROUND(ROUND(G256*(1+N($K$10)/100)/$O$7,0)*$O$7,2)))</f>
        <v/>
      </c>
      <c r="O256">
        <f>IF(B256="","",MAX($O$12:O255)+1)</f>
        <v/>
      </c>
      <c r="P256">
        <f>IF(AND(B256="",G256&lt;&gt;""),1,0)</f>
        <v/>
      </c>
    </row>
    <row r="257">
      <c r="A257" s="21" t="n"/>
      <c r="B257" s="21" t="n"/>
      <c r="C257" s="21" t="n"/>
      <c r="D257" s="22" t="n"/>
      <c r="E257" s="21" t="n"/>
      <c r="F257" s="23" t="n"/>
      <c r="G257" s="24" t="n"/>
      <c r="H257" s="25" t="n"/>
      <c r="I257" s="26">
        <f>IF(OR(NOT(ISNUMBER(G257)),N(D257)&lt;=1),"",ROUND(G257/D257,3))</f>
        <v/>
      </c>
      <c r="J257" s="27">
        <f>IF(G257="","",IF(NOT(ISNUMBER(G257)),"Revisa",IF(H257="","Falta IVA",ROUND(G257*(1+H257/100),2))))</f>
        <v/>
      </c>
      <c r="K257" s="27">
        <f>IF(G257="","",IF(NOT(ISNUMBER(G257)),"Revisa",IF(H257="","Falta IVA",ROUND(G257*(1+(H257+IF(H257=21,5.2,IF(H257=10,1.4,IF(H257=4,0.5,0))))/100),2))))</f>
        <v/>
      </c>
      <c r="L257" s="27">
        <f>IF(G257="","",IF(NOT(ISNUMBER(G257)),"Revisa",ROUND(ROUND(G257*(1+N($K$8)/100)/$O$7,0)*$O$7,2)))</f>
        <v/>
      </c>
      <c r="M257" s="27">
        <f>IF(G257="","",IF(NOT(ISNUMBER(G257)),"Revisa",ROUND(ROUND(G257*(1+N($K$9)/100)/$O$7,0)*$O$7,2)))</f>
        <v/>
      </c>
      <c r="N257" s="27">
        <f>IF(G257="","",IF(NOT(ISNUMBER(G257)),"Revisa",ROUND(ROUND(G257*(1+N($K$10)/100)/$O$7,0)*$O$7,2)))</f>
        <v/>
      </c>
      <c r="O257">
        <f>IF(B257="","",MAX($O$12:O256)+1)</f>
        <v/>
      </c>
      <c r="P257">
        <f>IF(AND(B257="",G257&lt;&gt;""),1,0)</f>
        <v/>
      </c>
    </row>
    <row r="258">
      <c r="A258" s="21" t="n"/>
      <c r="B258" s="21" t="n"/>
      <c r="C258" s="21" t="n"/>
      <c r="D258" s="22" t="n"/>
      <c r="E258" s="21" t="n"/>
      <c r="F258" s="23" t="n"/>
      <c r="G258" s="24" t="n"/>
      <c r="H258" s="25" t="n"/>
      <c r="I258" s="26">
        <f>IF(OR(NOT(ISNUMBER(G258)),N(D258)&lt;=1),"",ROUND(G258/D258,3))</f>
        <v/>
      </c>
      <c r="J258" s="27">
        <f>IF(G258="","",IF(NOT(ISNUMBER(G258)),"Revisa",IF(H258="","Falta IVA",ROUND(G258*(1+H258/100),2))))</f>
        <v/>
      </c>
      <c r="K258" s="27">
        <f>IF(G258="","",IF(NOT(ISNUMBER(G258)),"Revisa",IF(H258="","Falta IVA",ROUND(G258*(1+(H258+IF(H258=21,5.2,IF(H258=10,1.4,IF(H258=4,0.5,0))))/100),2))))</f>
        <v/>
      </c>
      <c r="L258" s="27">
        <f>IF(G258="","",IF(NOT(ISNUMBER(G258)),"Revisa",ROUND(ROUND(G258*(1+N($K$8)/100)/$O$7,0)*$O$7,2)))</f>
        <v/>
      </c>
      <c r="M258" s="27">
        <f>IF(G258="","",IF(NOT(ISNUMBER(G258)),"Revisa",ROUND(ROUND(G258*(1+N($K$9)/100)/$O$7,0)*$O$7,2)))</f>
        <v/>
      </c>
      <c r="N258" s="27">
        <f>IF(G258="","",IF(NOT(ISNUMBER(G258)),"Revisa",ROUND(ROUND(G258*(1+N($K$10)/100)/$O$7,0)*$O$7,2)))</f>
        <v/>
      </c>
      <c r="O258">
        <f>IF(B258="","",MAX($O$12:O257)+1)</f>
        <v/>
      </c>
      <c r="P258">
        <f>IF(AND(B258="",G258&lt;&gt;""),1,0)</f>
        <v/>
      </c>
    </row>
    <row r="259">
      <c r="A259" s="21" t="n"/>
      <c r="B259" s="21" t="n"/>
      <c r="C259" s="21" t="n"/>
      <c r="D259" s="22" t="n"/>
      <c r="E259" s="21" t="n"/>
      <c r="F259" s="23" t="n"/>
      <c r="G259" s="24" t="n"/>
      <c r="H259" s="25" t="n"/>
      <c r="I259" s="26">
        <f>IF(OR(NOT(ISNUMBER(G259)),N(D259)&lt;=1),"",ROUND(G259/D259,3))</f>
        <v/>
      </c>
      <c r="J259" s="27">
        <f>IF(G259="","",IF(NOT(ISNUMBER(G259)),"Revisa",IF(H259="","Falta IVA",ROUND(G259*(1+H259/100),2))))</f>
        <v/>
      </c>
      <c r="K259" s="27">
        <f>IF(G259="","",IF(NOT(ISNUMBER(G259)),"Revisa",IF(H259="","Falta IVA",ROUND(G259*(1+(H259+IF(H259=21,5.2,IF(H259=10,1.4,IF(H259=4,0.5,0))))/100),2))))</f>
        <v/>
      </c>
      <c r="L259" s="27">
        <f>IF(G259="","",IF(NOT(ISNUMBER(G259)),"Revisa",ROUND(ROUND(G259*(1+N($K$8)/100)/$O$7,0)*$O$7,2)))</f>
        <v/>
      </c>
      <c r="M259" s="27">
        <f>IF(G259="","",IF(NOT(ISNUMBER(G259)),"Revisa",ROUND(ROUND(G259*(1+N($K$9)/100)/$O$7,0)*$O$7,2)))</f>
        <v/>
      </c>
      <c r="N259" s="27">
        <f>IF(G259="","",IF(NOT(ISNUMBER(G259)),"Revisa",ROUND(ROUND(G259*(1+N($K$10)/100)/$O$7,0)*$O$7,2)))</f>
        <v/>
      </c>
      <c r="O259">
        <f>IF(B259="","",MAX($O$12:O258)+1)</f>
        <v/>
      </c>
      <c r="P259">
        <f>IF(AND(B259="",G259&lt;&gt;""),1,0)</f>
        <v/>
      </c>
    </row>
    <row r="260">
      <c r="A260" s="21" t="n"/>
      <c r="B260" s="21" t="n"/>
      <c r="C260" s="21" t="n"/>
      <c r="D260" s="22" t="n"/>
      <c r="E260" s="21" t="n"/>
      <c r="F260" s="23" t="n"/>
      <c r="G260" s="24" t="n"/>
      <c r="H260" s="25" t="n"/>
      <c r="I260" s="26">
        <f>IF(OR(NOT(ISNUMBER(G260)),N(D260)&lt;=1),"",ROUND(G260/D260,3))</f>
        <v/>
      </c>
      <c r="J260" s="27">
        <f>IF(G260="","",IF(NOT(ISNUMBER(G260)),"Revisa",IF(H260="","Falta IVA",ROUND(G260*(1+H260/100),2))))</f>
        <v/>
      </c>
      <c r="K260" s="27">
        <f>IF(G260="","",IF(NOT(ISNUMBER(G260)),"Revisa",IF(H260="","Falta IVA",ROUND(G260*(1+(H260+IF(H260=21,5.2,IF(H260=10,1.4,IF(H260=4,0.5,0))))/100),2))))</f>
        <v/>
      </c>
      <c r="L260" s="27">
        <f>IF(G260="","",IF(NOT(ISNUMBER(G260)),"Revisa",ROUND(ROUND(G260*(1+N($K$8)/100)/$O$7,0)*$O$7,2)))</f>
        <v/>
      </c>
      <c r="M260" s="27">
        <f>IF(G260="","",IF(NOT(ISNUMBER(G260)),"Revisa",ROUND(ROUND(G260*(1+N($K$9)/100)/$O$7,0)*$O$7,2)))</f>
        <v/>
      </c>
      <c r="N260" s="27">
        <f>IF(G260="","",IF(NOT(ISNUMBER(G260)),"Revisa",ROUND(ROUND(G260*(1+N($K$10)/100)/$O$7,0)*$O$7,2)))</f>
        <v/>
      </c>
      <c r="O260">
        <f>IF(B260="","",MAX($O$12:O259)+1)</f>
        <v/>
      </c>
      <c r="P260">
        <f>IF(AND(B260="",G260&lt;&gt;""),1,0)</f>
        <v/>
      </c>
    </row>
    <row r="261">
      <c r="A261" s="21" t="n"/>
      <c r="B261" s="21" t="n"/>
      <c r="C261" s="21" t="n"/>
      <c r="D261" s="22" t="n"/>
      <c r="E261" s="21" t="n"/>
      <c r="F261" s="23" t="n"/>
      <c r="G261" s="24" t="n"/>
      <c r="H261" s="25" t="n"/>
      <c r="I261" s="26">
        <f>IF(OR(NOT(ISNUMBER(G261)),N(D261)&lt;=1),"",ROUND(G261/D261,3))</f>
        <v/>
      </c>
      <c r="J261" s="27">
        <f>IF(G261="","",IF(NOT(ISNUMBER(G261)),"Revisa",IF(H261="","Falta IVA",ROUND(G261*(1+H261/100),2))))</f>
        <v/>
      </c>
      <c r="K261" s="27">
        <f>IF(G261="","",IF(NOT(ISNUMBER(G261)),"Revisa",IF(H261="","Falta IVA",ROUND(G261*(1+(H261+IF(H261=21,5.2,IF(H261=10,1.4,IF(H261=4,0.5,0))))/100),2))))</f>
        <v/>
      </c>
      <c r="L261" s="27">
        <f>IF(G261="","",IF(NOT(ISNUMBER(G261)),"Revisa",ROUND(ROUND(G261*(1+N($K$8)/100)/$O$7,0)*$O$7,2)))</f>
        <v/>
      </c>
      <c r="M261" s="27">
        <f>IF(G261="","",IF(NOT(ISNUMBER(G261)),"Revisa",ROUND(ROUND(G261*(1+N($K$9)/100)/$O$7,0)*$O$7,2)))</f>
        <v/>
      </c>
      <c r="N261" s="27">
        <f>IF(G261="","",IF(NOT(ISNUMBER(G261)),"Revisa",ROUND(ROUND(G261*(1+N($K$10)/100)/$O$7,0)*$O$7,2)))</f>
        <v/>
      </c>
      <c r="O261">
        <f>IF(B261="","",MAX($O$12:O260)+1)</f>
        <v/>
      </c>
      <c r="P261">
        <f>IF(AND(B261="",G261&lt;&gt;""),1,0)</f>
        <v/>
      </c>
    </row>
    <row r="262">
      <c r="A262" s="21" t="n"/>
      <c r="B262" s="21" t="n"/>
      <c r="C262" s="21" t="n"/>
      <c r="D262" s="22" t="n"/>
      <c r="E262" s="21" t="n"/>
      <c r="F262" s="23" t="n"/>
      <c r="G262" s="24" t="n"/>
      <c r="H262" s="25" t="n"/>
      <c r="I262" s="26">
        <f>IF(OR(NOT(ISNUMBER(G262)),N(D262)&lt;=1),"",ROUND(G262/D262,3))</f>
        <v/>
      </c>
      <c r="J262" s="27">
        <f>IF(G262="","",IF(NOT(ISNUMBER(G262)),"Revisa",IF(H262="","Falta IVA",ROUND(G262*(1+H262/100),2))))</f>
        <v/>
      </c>
      <c r="K262" s="27">
        <f>IF(G262="","",IF(NOT(ISNUMBER(G262)),"Revisa",IF(H262="","Falta IVA",ROUND(G262*(1+(H262+IF(H262=21,5.2,IF(H262=10,1.4,IF(H262=4,0.5,0))))/100),2))))</f>
        <v/>
      </c>
      <c r="L262" s="27">
        <f>IF(G262="","",IF(NOT(ISNUMBER(G262)),"Revisa",ROUND(ROUND(G262*(1+N($K$8)/100)/$O$7,0)*$O$7,2)))</f>
        <v/>
      </c>
      <c r="M262" s="27">
        <f>IF(G262="","",IF(NOT(ISNUMBER(G262)),"Revisa",ROUND(ROUND(G262*(1+N($K$9)/100)/$O$7,0)*$O$7,2)))</f>
        <v/>
      </c>
      <c r="N262" s="27">
        <f>IF(G262="","",IF(NOT(ISNUMBER(G262)),"Revisa",ROUND(ROUND(G262*(1+N($K$10)/100)/$O$7,0)*$O$7,2)))</f>
        <v/>
      </c>
      <c r="O262">
        <f>IF(B262="","",MAX($O$12:O261)+1)</f>
        <v/>
      </c>
      <c r="P262">
        <f>IF(AND(B262="",G262&lt;&gt;""),1,0)</f>
        <v/>
      </c>
    </row>
    <row r="263">
      <c r="A263" s="21" t="n"/>
      <c r="B263" s="21" t="n"/>
      <c r="C263" s="21" t="n"/>
      <c r="D263" s="22" t="n"/>
      <c r="E263" s="21" t="n"/>
      <c r="F263" s="23" t="n"/>
      <c r="G263" s="24" t="n"/>
      <c r="H263" s="25" t="n"/>
      <c r="I263" s="26">
        <f>IF(OR(NOT(ISNUMBER(G263)),N(D263)&lt;=1),"",ROUND(G263/D263,3))</f>
        <v/>
      </c>
      <c r="J263" s="27">
        <f>IF(G263="","",IF(NOT(ISNUMBER(G263)),"Revisa",IF(H263="","Falta IVA",ROUND(G263*(1+H263/100),2))))</f>
        <v/>
      </c>
      <c r="K263" s="27">
        <f>IF(G263="","",IF(NOT(ISNUMBER(G263)),"Revisa",IF(H263="","Falta IVA",ROUND(G263*(1+(H263+IF(H263=21,5.2,IF(H263=10,1.4,IF(H263=4,0.5,0))))/100),2))))</f>
        <v/>
      </c>
      <c r="L263" s="27">
        <f>IF(G263="","",IF(NOT(ISNUMBER(G263)),"Revisa",ROUND(ROUND(G263*(1+N($K$8)/100)/$O$7,0)*$O$7,2)))</f>
        <v/>
      </c>
      <c r="M263" s="27">
        <f>IF(G263="","",IF(NOT(ISNUMBER(G263)),"Revisa",ROUND(ROUND(G263*(1+N($K$9)/100)/$O$7,0)*$O$7,2)))</f>
        <v/>
      </c>
      <c r="N263" s="27">
        <f>IF(G263="","",IF(NOT(ISNUMBER(G263)),"Revisa",ROUND(ROUND(G263*(1+N($K$10)/100)/$O$7,0)*$O$7,2)))</f>
        <v/>
      </c>
      <c r="O263">
        <f>IF(B263="","",MAX($O$12:O262)+1)</f>
        <v/>
      </c>
      <c r="P263">
        <f>IF(AND(B263="",G263&lt;&gt;""),1,0)</f>
        <v/>
      </c>
    </row>
    <row r="264">
      <c r="A264" s="21" t="n"/>
      <c r="B264" s="21" t="n"/>
      <c r="C264" s="21" t="n"/>
      <c r="D264" s="22" t="n"/>
      <c r="E264" s="21" t="n"/>
      <c r="F264" s="23" t="n"/>
      <c r="G264" s="24" t="n"/>
      <c r="H264" s="25" t="n"/>
      <c r="I264" s="26">
        <f>IF(OR(NOT(ISNUMBER(G264)),N(D264)&lt;=1),"",ROUND(G264/D264,3))</f>
        <v/>
      </c>
      <c r="J264" s="27">
        <f>IF(G264="","",IF(NOT(ISNUMBER(G264)),"Revisa",IF(H264="","Falta IVA",ROUND(G264*(1+H264/100),2))))</f>
        <v/>
      </c>
      <c r="K264" s="27">
        <f>IF(G264="","",IF(NOT(ISNUMBER(G264)),"Revisa",IF(H264="","Falta IVA",ROUND(G264*(1+(H264+IF(H264=21,5.2,IF(H264=10,1.4,IF(H264=4,0.5,0))))/100),2))))</f>
        <v/>
      </c>
      <c r="L264" s="27">
        <f>IF(G264="","",IF(NOT(ISNUMBER(G264)),"Revisa",ROUND(ROUND(G264*(1+N($K$8)/100)/$O$7,0)*$O$7,2)))</f>
        <v/>
      </c>
      <c r="M264" s="27">
        <f>IF(G264="","",IF(NOT(ISNUMBER(G264)),"Revisa",ROUND(ROUND(G264*(1+N($K$9)/100)/$O$7,0)*$O$7,2)))</f>
        <v/>
      </c>
      <c r="N264" s="27">
        <f>IF(G264="","",IF(NOT(ISNUMBER(G264)),"Revisa",ROUND(ROUND(G264*(1+N($K$10)/100)/$O$7,0)*$O$7,2)))</f>
        <v/>
      </c>
      <c r="O264">
        <f>IF(B264="","",MAX($O$12:O263)+1)</f>
        <v/>
      </c>
      <c r="P264">
        <f>IF(AND(B264="",G264&lt;&gt;""),1,0)</f>
        <v/>
      </c>
    </row>
    <row r="265">
      <c r="A265" s="21" t="n"/>
      <c r="B265" s="21" t="n"/>
      <c r="C265" s="21" t="n"/>
      <c r="D265" s="22" t="n"/>
      <c r="E265" s="21" t="n"/>
      <c r="F265" s="23" t="n"/>
      <c r="G265" s="24" t="n"/>
      <c r="H265" s="25" t="n"/>
      <c r="I265" s="26">
        <f>IF(OR(NOT(ISNUMBER(G265)),N(D265)&lt;=1),"",ROUND(G265/D265,3))</f>
        <v/>
      </c>
      <c r="J265" s="27">
        <f>IF(G265="","",IF(NOT(ISNUMBER(G265)),"Revisa",IF(H265="","Falta IVA",ROUND(G265*(1+H265/100),2))))</f>
        <v/>
      </c>
      <c r="K265" s="27">
        <f>IF(G265="","",IF(NOT(ISNUMBER(G265)),"Revisa",IF(H265="","Falta IVA",ROUND(G265*(1+(H265+IF(H265=21,5.2,IF(H265=10,1.4,IF(H265=4,0.5,0))))/100),2))))</f>
        <v/>
      </c>
      <c r="L265" s="27">
        <f>IF(G265="","",IF(NOT(ISNUMBER(G265)),"Revisa",ROUND(ROUND(G265*(1+N($K$8)/100)/$O$7,0)*$O$7,2)))</f>
        <v/>
      </c>
      <c r="M265" s="27">
        <f>IF(G265="","",IF(NOT(ISNUMBER(G265)),"Revisa",ROUND(ROUND(G265*(1+N($K$9)/100)/$O$7,0)*$O$7,2)))</f>
        <v/>
      </c>
      <c r="N265" s="27">
        <f>IF(G265="","",IF(NOT(ISNUMBER(G265)),"Revisa",ROUND(ROUND(G265*(1+N($K$10)/100)/$O$7,0)*$O$7,2)))</f>
        <v/>
      </c>
      <c r="O265">
        <f>IF(B265="","",MAX($O$12:O264)+1)</f>
        <v/>
      </c>
      <c r="P265">
        <f>IF(AND(B265="",G265&lt;&gt;""),1,0)</f>
        <v/>
      </c>
    </row>
    <row r="266">
      <c r="A266" s="21" t="n"/>
      <c r="B266" s="21" t="n"/>
      <c r="C266" s="21" t="n"/>
      <c r="D266" s="22" t="n"/>
      <c r="E266" s="21" t="n"/>
      <c r="F266" s="23" t="n"/>
      <c r="G266" s="24" t="n"/>
      <c r="H266" s="25" t="n"/>
      <c r="I266" s="26">
        <f>IF(OR(NOT(ISNUMBER(G266)),N(D266)&lt;=1),"",ROUND(G266/D266,3))</f>
        <v/>
      </c>
      <c r="J266" s="27">
        <f>IF(G266="","",IF(NOT(ISNUMBER(G266)),"Revisa",IF(H266="","Falta IVA",ROUND(G266*(1+H266/100),2))))</f>
        <v/>
      </c>
      <c r="K266" s="27">
        <f>IF(G266="","",IF(NOT(ISNUMBER(G266)),"Revisa",IF(H266="","Falta IVA",ROUND(G266*(1+(H266+IF(H266=21,5.2,IF(H266=10,1.4,IF(H266=4,0.5,0))))/100),2))))</f>
        <v/>
      </c>
      <c r="L266" s="27">
        <f>IF(G266="","",IF(NOT(ISNUMBER(G266)),"Revisa",ROUND(ROUND(G266*(1+N($K$8)/100)/$O$7,0)*$O$7,2)))</f>
        <v/>
      </c>
      <c r="M266" s="27">
        <f>IF(G266="","",IF(NOT(ISNUMBER(G266)),"Revisa",ROUND(ROUND(G266*(1+N($K$9)/100)/$O$7,0)*$O$7,2)))</f>
        <v/>
      </c>
      <c r="N266" s="27">
        <f>IF(G266="","",IF(NOT(ISNUMBER(G266)),"Revisa",ROUND(ROUND(G266*(1+N($K$10)/100)/$O$7,0)*$O$7,2)))</f>
        <v/>
      </c>
      <c r="O266">
        <f>IF(B266="","",MAX($O$12:O265)+1)</f>
        <v/>
      </c>
      <c r="P266">
        <f>IF(AND(B266="",G266&lt;&gt;""),1,0)</f>
        <v/>
      </c>
    </row>
    <row r="267">
      <c r="A267" s="21" t="n"/>
      <c r="B267" s="21" t="n"/>
      <c r="C267" s="21" t="n"/>
      <c r="D267" s="22" t="n"/>
      <c r="E267" s="21" t="n"/>
      <c r="F267" s="23" t="n"/>
      <c r="G267" s="24" t="n"/>
      <c r="H267" s="25" t="n"/>
      <c r="I267" s="26">
        <f>IF(OR(NOT(ISNUMBER(G267)),N(D267)&lt;=1),"",ROUND(G267/D267,3))</f>
        <v/>
      </c>
      <c r="J267" s="27">
        <f>IF(G267="","",IF(NOT(ISNUMBER(G267)),"Revisa",IF(H267="","Falta IVA",ROUND(G267*(1+H267/100),2))))</f>
        <v/>
      </c>
      <c r="K267" s="27">
        <f>IF(G267="","",IF(NOT(ISNUMBER(G267)),"Revisa",IF(H267="","Falta IVA",ROUND(G267*(1+(H267+IF(H267=21,5.2,IF(H267=10,1.4,IF(H267=4,0.5,0))))/100),2))))</f>
        <v/>
      </c>
      <c r="L267" s="27">
        <f>IF(G267="","",IF(NOT(ISNUMBER(G267)),"Revisa",ROUND(ROUND(G267*(1+N($K$8)/100)/$O$7,0)*$O$7,2)))</f>
        <v/>
      </c>
      <c r="M267" s="27">
        <f>IF(G267="","",IF(NOT(ISNUMBER(G267)),"Revisa",ROUND(ROUND(G267*(1+N($K$9)/100)/$O$7,0)*$O$7,2)))</f>
        <v/>
      </c>
      <c r="N267" s="27">
        <f>IF(G267="","",IF(NOT(ISNUMBER(G267)),"Revisa",ROUND(ROUND(G267*(1+N($K$10)/100)/$O$7,0)*$O$7,2)))</f>
        <v/>
      </c>
      <c r="O267">
        <f>IF(B267="","",MAX($O$12:O266)+1)</f>
        <v/>
      </c>
      <c r="P267">
        <f>IF(AND(B267="",G267&lt;&gt;""),1,0)</f>
        <v/>
      </c>
    </row>
    <row r="268">
      <c r="A268" s="21" t="n"/>
      <c r="B268" s="21" t="n"/>
      <c r="C268" s="21" t="n"/>
      <c r="D268" s="22" t="n"/>
      <c r="E268" s="21" t="n"/>
      <c r="F268" s="23" t="n"/>
      <c r="G268" s="24" t="n"/>
      <c r="H268" s="25" t="n"/>
      <c r="I268" s="26">
        <f>IF(OR(NOT(ISNUMBER(G268)),N(D268)&lt;=1),"",ROUND(G268/D268,3))</f>
        <v/>
      </c>
      <c r="J268" s="27">
        <f>IF(G268="","",IF(NOT(ISNUMBER(G268)),"Revisa",IF(H268="","Falta IVA",ROUND(G268*(1+H268/100),2))))</f>
        <v/>
      </c>
      <c r="K268" s="27">
        <f>IF(G268="","",IF(NOT(ISNUMBER(G268)),"Revisa",IF(H268="","Falta IVA",ROUND(G268*(1+(H268+IF(H268=21,5.2,IF(H268=10,1.4,IF(H268=4,0.5,0))))/100),2))))</f>
        <v/>
      </c>
      <c r="L268" s="27">
        <f>IF(G268="","",IF(NOT(ISNUMBER(G268)),"Revisa",ROUND(ROUND(G268*(1+N($K$8)/100)/$O$7,0)*$O$7,2)))</f>
        <v/>
      </c>
      <c r="M268" s="27">
        <f>IF(G268="","",IF(NOT(ISNUMBER(G268)),"Revisa",ROUND(ROUND(G268*(1+N($K$9)/100)/$O$7,0)*$O$7,2)))</f>
        <v/>
      </c>
      <c r="N268" s="27">
        <f>IF(G268="","",IF(NOT(ISNUMBER(G268)),"Revisa",ROUND(ROUND(G268*(1+N($K$10)/100)/$O$7,0)*$O$7,2)))</f>
        <v/>
      </c>
      <c r="O268">
        <f>IF(B268="","",MAX($O$12:O267)+1)</f>
        <v/>
      </c>
      <c r="P268">
        <f>IF(AND(B268="",G268&lt;&gt;""),1,0)</f>
        <v/>
      </c>
    </row>
    <row r="269">
      <c r="A269" s="21" t="n"/>
      <c r="B269" s="21" t="n"/>
      <c r="C269" s="21" t="n"/>
      <c r="D269" s="22" t="n"/>
      <c r="E269" s="21" t="n"/>
      <c r="F269" s="23" t="n"/>
      <c r="G269" s="24" t="n"/>
      <c r="H269" s="25" t="n"/>
      <c r="I269" s="26">
        <f>IF(OR(NOT(ISNUMBER(G269)),N(D269)&lt;=1),"",ROUND(G269/D269,3))</f>
        <v/>
      </c>
      <c r="J269" s="27">
        <f>IF(G269="","",IF(NOT(ISNUMBER(G269)),"Revisa",IF(H269="","Falta IVA",ROUND(G269*(1+H269/100),2))))</f>
        <v/>
      </c>
      <c r="K269" s="27">
        <f>IF(G269="","",IF(NOT(ISNUMBER(G269)),"Revisa",IF(H269="","Falta IVA",ROUND(G269*(1+(H269+IF(H269=21,5.2,IF(H269=10,1.4,IF(H269=4,0.5,0))))/100),2))))</f>
        <v/>
      </c>
      <c r="L269" s="27">
        <f>IF(G269="","",IF(NOT(ISNUMBER(G269)),"Revisa",ROUND(ROUND(G269*(1+N($K$8)/100)/$O$7,0)*$O$7,2)))</f>
        <v/>
      </c>
      <c r="M269" s="27">
        <f>IF(G269="","",IF(NOT(ISNUMBER(G269)),"Revisa",ROUND(ROUND(G269*(1+N($K$9)/100)/$O$7,0)*$O$7,2)))</f>
        <v/>
      </c>
      <c r="N269" s="27">
        <f>IF(G269="","",IF(NOT(ISNUMBER(G269)),"Revisa",ROUND(ROUND(G269*(1+N($K$10)/100)/$O$7,0)*$O$7,2)))</f>
        <v/>
      </c>
      <c r="O269">
        <f>IF(B269="","",MAX($O$12:O268)+1)</f>
        <v/>
      </c>
      <c r="P269">
        <f>IF(AND(B269="",G269&lt;&gt;""),1,0)</f>
        <v/>
      </c>
    </row>
    <row r="270">
      <c r="A270" s="21" t="n"/>
      <c r="B270" s="21" t="n"/>
      <c r="C270" s="21" t="n"/>
      <c r="D270" s="22" t="n"/>
      <c r="E270" s="21" t="n"/>
      <c r="F270" s="23" t="n"/>
      <c r="G270" s="24" t="n"/>
      <c r="H270" s="25" t="n"/>
      <c r="I270" s="26">
        <f>IF(OR(NOT(ISNUMBER(G270)),N(D270)&lt;=1),"",ROUND(G270/D270,3))</f>
        <v/>
      </c>
      <c r="J270" s="27">
        <f>IF(G270="","",IF(NOT(ISNUMBER(G270)),"Revisa",IF(H270="","Falta IVA",ROUND(G270*(1+H270/100),2))))</f>
        <v/>
      </c>
      <c r="K270" s="27">
        <f>IF(G270="","",IF(NOT(ISNUMBER(G270)),"Revisa",IF(H270="","Falta IVA",ROUND(G270*(1+(H270+IF(H270=21,5.2,IF(H270=10,1.4,IF(H270=4,0.5,0))))/100),2))))</f>
        <v/>
      </c>
      <c r="L270" s="27">
        <f>IF(G270="","",IF(NOT(ISNUMBER(G270)),"Revisa",ROUND(ROUND(G270*(1+N($K$8)/100)/$O$7,0)*$O$7,2)))</f>
        <v/>
      </c>
      <c r="M270" s="27">
        <f>IF(G270="","",IF(NOT(ISNUMBER(G270)),"Revisa",ROUND(ROUND(G270*(1+N($K$9)/100)/$O$7,0)*$O$7,2)))</f>
        <v/>
      </c>
      <c r="N270" s="27">
        <f>IF(G270="","",IF(NOT(ISNUMBER(G270)),"Revisa",ROUND(ROUND(G270*(1+N($K$10)/100)/$O$7,0)*$O$7,2)))</f>
        <v/>
      </c>
      <c r="O270">
        <f>IF(B270="","",MAX($O$12:O269)+1)</f>
        <v/>
      </c>
      <c r="P270">
        <f>IF(AND(B270="",G270&lt;&gt;""),1,0)</f>
        <v/>
      </c>
    </row>
    <row r="271">
      <c r="A271" s="21" t="n"/>
      <c r="B271" s="21" t="n"/>
      <c r="C271" s="21" t="n"/>
      <c r="D271" s="22" t="n"/>
      <c r="E271" s="21" t="n"/>
      <c r="F271" s="23" t="n"/>
      <c r="G271" s="24" t="n"/>
      <c r="H271" s="25" t="n"/>
      <c r="I271" s="26">
        <f>IF(OR(NOT(ISNUMBER(G271)),N(D271)&lt;=1),"",ROUND(G271/D271,3))</f>
        <v/>
      </c>
      <c r="J271" s="27">
        <f>IF(G271="","",IF(NOT(ISNUMBER(G271)),"Revisa",IF(H271="","Falta IVA",ROUND(G271*(1+H271/100),2))))</f>
        <v/>
      </c>
      <c r="K271" s="27">
        <f>IF(G271="","",IF(NOT(ISNUMBER(G271)),"Revisa",IF(H271="","Falta IVA",ROUND(G271*(1+(H271+IF(H271=21,5.2,IF(H271=10,1.4,IF(H271=4,0.5,0))))/100),2))))</f>
        <v/>
      </c>
      <c r="L271" s="27">
        <f>IF(G271="","",IF(NOT(ISNUMBER(G271)),"Revisa",ROUND(ROUND(G271*(1+N($K$8)/100)/$O$7,0)*$O$7,2)))</f>
        <v/>
      </c>
      <c r="M271" s="27">
        <f>IF(G271="","",IF(NOT(ISNUMBER(G271)),"Revisa",ROUND(ROUND(G271*(1+N($K$9)/100)/$O$7,0)*$O$7,2)))</f>
        <v/>
      </c>
      <c r="N271" s="27">
        <f>IF(G271="","",IF(NOT(ISNUMBER(G271)),"Revisa",ROUND(ROUND(G271*(1+N($K$10)/100)/$O$7,0)*$O$7,2)))</f>
        <v/>
      </c>
      <c r="O271">
        <f>IF(B271="","",MAX($O$12:O270)+1)</f>
        <v/>
      </c>
      <c r="P271">
        <f>IF(AND(B271="",G271&lt;&gt;""),1,0)</f>
        <v/>
      </c>
    </row>
    <row r="272">
      <c r="A272" s="21" t="n"/>
      <c r="B272" s="21" t="n"/>
      <c r="C272" s="21" t="n"/>
      <c r="D272" s="22" t="n"/>
      <c r="E272" s="21" t="n"/>
      <c r="F272" s="23" t="n"/>
      <c r="G272" s="24" t="n"/>
      <c r="H272" s="25" t="n"/>
      <c r="I272" s="26">
        <f>IF(OR(NOT(ISNUMBER(G272)),N(D272)&lt;=1),"",ROUND(G272/D272,3))</f>
        <v/>
      </c>
      <c r="J272" s="27">
        <f>IF(G272="","",IF(NOT(ISNUMBER(G272)),"Revisa",IF(H272="","Falta IVA",ROUND(G272*(1+H272/100),2))))</f>
        <v/>
      </c>
      <c r="K272" s="27">
        <f>IF(G272="","",IF(NOT(ISNUMBER(G272)),"Revisa",IF(H272="","Falta IVA",ROUND(G272*(1+(H272+IF(H272=21,5.2,IF(H272=10,1.4,IF(H272=4,0.5,0))))/100),2))))</f>
        <v/>
      </c>
      <c r="L272" s="27">
        <f>IF(G272="","",IF(NOT(ISNUMBER(G272)),"Revisa",ROUND(ROUND(G272*(1+N($K$8)/100)/$O$7,0)*$O$7,2)))</f>
        <v/>
      </c>
      <c r="M272" s="27">
        <f>IF(G272="","",IF(NOT(ISNUMBER(G272)),"Revisa",ROUND(ROUND(G272*(1+N($K$9)/100)/$O$7,0)*$O$7,2)))</f>
        <v/>
      </c>
      <c r="N272" s="27">
        <f>IF(G272="","",IF(NOT(ISNUMBER(G272)),"Revisa",ROUND(ROUND(G272*(1+N($K$10)/100)/$O$7,0)*$O$7,2)))</f>
        <v/>
      </c>
      <c r="O272">
        <f>IF(B272="","",MAX($O$12:O271)+1)</f>
        <v/>
      </c>
      <c r="P272">
        <f>IF(AND(B272="",G272&lt;&gt;""),1,0)</f>
        <v/>
      </c>
    </row>
    <row r="273">
      <c r="A273" s="21" t="n"/>
      <c r="B273" s="21" t="n"/>
      <c r="C273" s="21" t="n"/>
      <c r="D273" s="22" t="n"/>
      <c r="E273" s="21" t="n"/>
      <c r="F273" s="23" t="n"/>
      <c r="G273" s="24" t="n"/>
      <c r="H273" s="25" t="n"/>
      <c r="I273" s="26">
        <f>IF(OR(NOT(ISNUMBER(G273)),N(D273)&lt;=1),"",ROUND(G273/D273,3))</f>
        <v/>
      </c>
      <c r="J273" s="27">
        <f>IF(G273="","",IF(NOT(ISNUMBER(G273)),"Revisa",IF(H273="","Falta IVA",ROUND(G273*(1+H273/100),2))))</f>
        <v/>
      </c>
      <c r="K273" s="27">
        <f>IF(G273="","",IF(NOT(ISNUMBER(G273)),"Revisa",IF(H273="","Falta IVA",ROUND(G273*(1+(H273+IF(H273=21,5.2,IF(H273=10,1.4,IF(H273=4,0.5,0))))/100),2))))</f>
        <v/>
      </c>
      <c r="L273" s="27">
        <f>IF(G273="","",IF(NOT(ISNUMBER(G273)),"Revisa",ROUND(ROUND(G273*(1+N($K$8)/100)/$O$7,0)*$O$7,2)))</f>
        <v/>
      </c>
      <c r="M273" s="27">
        <f>IF(G273="","",IF(NOT(ISNUMBER(G273)),"Revisa",ROUND(ROUND(G273*(1+N($K$9)/100)/$O$7,0)*$O$7,2)))</f>
        <v/>
      </c>
      <c r="N273" s="27">
        <f>IF(G273="","",IF(NOT(ISNUMBER(G273)),"Revisa",ROUND(ROUND(G273*(1+N($K$10)/100)/$O$7,0)*$O$7,2)))</f>
        <v/>
      </c>
      <c r="O273">
        <f>IF(B273="","",MAX($O$12:O272)+1)</f>
        <v/>
      </c>
      <c r="P273">
        <f>IF(AND(B273="",G273&lt;&gt;""),1,0)</f>
        <v/>
      </c>
    </row>
    <row r="274">
      <c r="A274" s="21" t="n"/>
      <c r="B274" s="21" t="n"/>
      <c r="C274" s="21" t="n"/>
      <c r="D274" s="22" t="n"/>
      <c r="E274" s="21" t="n"/>
      <c r="F274" s="23" t="n"/>
      <c r="G274" s="24" t="n"/>
      <c r="H274" s="25" t="n"/>
      <c r="I274" s="26">
        <f>IF(OR(NOT(ISNUMBER(G274)),N(D274)&lt;=1),"",ROUND(G274/D274,3))</f>
        <v/>
      </c>
      <c r="J274" s="27">
        <f>IF(G274="","",IF(NOT(ISNUMBER(G274)),"Revisa",IF(H274="","Falta IVA",ROUND(G274*(1+H274/100),2))))</f>
        <v/>
      </c>
      <c r="K274" s="27">
        <f>IF(G274="","",IF(NOT(ISNUMBER(G274)),"Revisa",IF(H274="","Falta IVA",ROUND(G274*(1+(H274+IF(H274=21,5.2,IF(H274=10,1.4,IF(H274=4,0.5,0))))/100),2))))</f>
        <v/>
      </c>
      <c r="L274" s="27">
        <f>IF(G274="","",IF(NOT(ISNUMBER(G274)),"Revisa",ROUND(ROUND(G274*(1+N($K$8)/100)/$O$7,0)*$O$7,2)))</f>
        <v/>
      </c>
      <c r="M274" s="27">
        <f>IF(G274="","",IF(NOT(ISNUMBER(G274)),"Revisa",ROUND(ROUND(G274*(1+N($K$9)/100)/$O$7,0)*$O$7,2)))</f>
        <v/>
      </c>
      <c r="N274" s="27">
        <f>IF(G274="","",IF(NOT(ISNUMBER(G274)),"Revisa",ROUND(ROUND(G274*(1+N($K$10)/100)/$O$7,0)*$O$7,2)))</f>
        <v/>
      </c>
      <c r="O274">
        <f>IF(B274="","",MAX($O$12:O273)+1)</f>
        <v/>
      </c>
      <c r="P274">
        <f>IF(AND(B274="",G274&lt;&gt;""),1,0)</f>
        <v/>
      </c>
    </row>
    <row r="275">
      <c r="A275" s="21" t="n"/>
      <c r="B275" s="21" t="n"/>
      <c r="C275" s="21" t="n"/>
      <c r="D275" s="22" t="n"/>
      <c r="E275" s="21" t="n"/>
      <c r="F275" s="23" t="n"/>
      <c r="G275" s="24" t="n"/>
      <c r="H275" s="25" t="n"/>
      <c r="I275" s="26">
        <f>IF(OR(NOT(ISNUMBER(G275)),N(D275)&lt;=1),"",ROUND(G275/D275,3))</f>
        <v/>
      </c>
      <c r="J275" s="27">
        <f>IF(G275="","",IF(NOT(ISNUMBER(G275)),"Revisa",IF(H275="","Falta IVA",ROUND(G275*(1+H275/100),2))))</f>
        <v/>
      </c>
      <c r="K275" s="27">
        <f>IF(G275="","",IF(NOT(ISNUMBER(G275)),"Revisa",IF(H275="","Falta IVA",ROUND(G275*(1+(H275+IF(H275=21,5.2,IF(H275=10,1.4,IF(H275=4,0.5,0))))/100),2))))</f>
        <v/>
      </c>
      <c r="L275" s="27">
        <f>IF(G275="","",IF(NOT(ISNUMBER(G275)),"Revisa",ROUND(ROUND(G275*(1+N($K$8)/100)/$O$7,0)*$O$7,2)))</f>
        <v/>
      </c>
      <c r="M275" s="27">
        <f>IF(G275="","",IF(NOT(ISNUMBER(G275)),"Revisa",ROUND(ROUND(G275*(1+N($K$9)/100)/$O$7,0)*$O$7,2)))</f>
        <v/>
      </c>
      <c r="N275" s="27">
        <f>IF(G275="","",IF(NOT(ISNUMBER(G275)),"Revisa",ROUND(ROUND(G275*(1+N($K$10)/100)/$O$7,0)*$O$7,2)))</f>
        <v/>
      </c>
      <c r="O275">
        <f>IF(B275="","",MAX($O$12:O274)+1)</f>
        <v/>
      </c>
      <c r="P275">
        <f>IF(AND(B275="",G275&lt;&gt;""),1,0)</f>
        <v/>
      </c>
    </row>
    <row r="276">
      <c r="A276" s="21" t="n"/>
      <c r="B276" s="21" t="n"/>
      <c r="C276" s="21" t="n"/>
      <c r="D276" s="22" t="n"/>
      <c r="E276" s="21" t="n"/>
      <c r="F276" s="23" t="n"/>
      <c r="G276" s="24" t="n"/>
      <c r="H276" s="25" t="n"/>
      <c r="I276" s="26">
        <f>IF(OR(NOT(ISNUMBER(G276)),N(D276)&lt;=1),"",ROUND(G276/D276,3))</f>
        <v/>
      </c>
      <c r="J276" s="27">
        <f>IF(G276="","",IF(NOT(ISNUMBER(G276)),"Revisa",IF(H276="","Falta IVA",ROUND(G276*(1+H276/100),2))))</f>
        <v/>
      </c>
      <c r="K276" s="27">
        <f>IF(G276="","",IF(NOT(ISNUMBER(G276)),"Revisa",IF(H276="","Falta IVA",ROUND(G276*(1+(H276+IF(H276=21,5.2,IF(H276=10,1.4,IF(H276=4,0.5,0))))/100),2))))</f>
        <v/>
      </c>
      <c r="L276" s="27">
        <f>IF(G276="","",IF(NOT(ISNUMBER(G276)),"Revisa",ROUND(ROUND(G276*(1+N($K$8)/100)/$O$7,0)*$O$7,2)))</f>
        <v/>
      </c>
      <c r="M276" s="27">
        <f>IF(G276="","",IF(NOT(ISNUMBER(G276)),"Revisa",ROUND(ROUND(G276*(1+N($K$9)/100)/$O$7,0)*$O$7,2)))</f>
        <v/>
      </c>
      <c r="N276" s="27">
        <f>IF(G276="","",IF(NOT(ISNUMBER(G276)),"Revisa",ROUND(ROUND(G276*(1+N($K$10)/100)/$O$7,0)*$O$7,2)))</f>
        <v/>
      </c>
      <c r="O276">
        <f>IF(B276="","",MAX($O$12:O275)+1)</f>
        <v/>
      </c>
      <c r="P276">
        <f>IF(AND(B276="",G276&lt;&gt;""),1,0)</f>
        <v/>
      </c>
    </row>
    <row r="277">
      <c r="A277" s="21" t="n"/>
      <c r="B277" s="21" t="n"/>
      <c r="C277" s="21" t="n"/>
      <c r="D277" s="22" t="n"/>
      <c r="E277" s="21" t="n"/>
      <c r="F277" s="23" t="n"/>
      <c r="G277" s="24" t="n"/>
      <c r="H277" s="25" t="n"/>
      <c r="I277" s="26">
        <f>IF(OR(NOT(ISNUMBER(G277)),N(D277)&lt;=1),"",ROUND(G277/D277,3))</f>
        <v/>
      </c>
      <c r="J277" s="27">
        <f>IF(G277="","",IF(NOT(ISNUMBER(G277)),"Revisa",IF(H277="","Falta IVA",ROUND(G277*(1+H277/100),2))))</f>
        <v/>
      </c>
      <c r="K277" s="27">
        <f>IF(G277="","",IF(NOT(ISNUMBER(G277)),"Revisa",IF(H277="","Falta IVA",ROUND(G277*(1+(H277+IF(H277=21,5.2,IF(H277=10,1.4,IF(H277=4,0.5,0))))/100),2))))</f>
        <v/>
      </c>
      <c r="L277" s="27">
        <f>IF(G277="","",IF(NOT(ISNUMBER(G277)),"Revisa",ROUND(ROUND(G277*(1+N($K$8)/100)/$O$7,0)*$O$7,2)))</f>
        <v/>
      </c>
      <c r="M277" s="27">
        <f>IF(G277="","",IF(NOT(ISNUMBER(G277)),"Revisa",ROUND(ROUND(G277*(1+N($K$9)/100)/$O$7,0)*$O$7,2)))</f>
        <v/>
      </c>
      <c r="N277" s="27">
        <f>IF(G277="","",IF(NOT(ISNUMBER(G277)),"Revisa",ROUND(ROUND(G277*(1+N($K$10)/100)/$O$7,0)*$O$7,2)))</f>
        <v/>
      </c>
      <c r="O277">
        <f>IF(B277="","",MAX($O$12:O276)+1)</f>
        <v/>
      </c>
      <c r="P277">
        <f>IF(AND(B277="",G277&lt;&gt;""),1,0)</f>
        <v/>
      </c>
    </row>
    <row r="278">
      <c r="A278" s="21" t="n"/>
      <c r="B278" s="21" t="n"/>
      <c r="C278" s="21" t="n"/>
      <c r="D278" s="22" t="n"/>
      <c r="E278" s="21" t="n"/>
      <c r="F278" s="23" t="n"/>
      <c r="G278" s="24" t="n"/>
      <c r="H278" s="25" t="n"/>
      <c r="I278" s="26">
        <f>IF(OR(NOT(ISNUMBER(G278)),N(D278)&lt;=1),"",ROUND(G278/D278,3))</f>
        <v/>
      </c>
      <c r="J278" s="27">
        <f>IF(G278="","",IF(NOT(ISNUMBER(G278)),"Revisa",IF(H278="","Falta IVA",ROUND(G278*(1+H278/100),2))))</f>
        <v/>
      </c>
      <c r="K278" s="27">
        <f>IF(G278="","",IF(NOT(ISNUMBER(G278)),"Revisa",IF(H278="","Falta IVA",ROUND(G278*(1+(H278+IF(H278=21,5.2,IF(H278=10,1.4,IF(H278=4,0.5,0))))/100),2))))</f>
        <v/>
      </c>
      <c r="L278" s="27">
        <f>IF(G278="","",IF(NOT(ISNUMBER(G278)),"Revisa",ROUND(ROUND(G278*(1+N($K$8)/100)/$O$7,0)*$O$7,2)))</f>
        <v/>
      </c>
      <c r="M278" s="27">
        <f>IF(G278="","",IF(NOT(ISNUMBER(G278)),"Revisa",ROUND(ROUND(G278*(1+N($K$9)/100)/$O$7,0)*$O$7,2)))</f>
        <v/>
      </c>
      <c r="N278" s="27">
        <f>IF(G278="","",IF(NOT(ISNUMBER(G278)),"Revisa",ROUND(ROUND(G278*(1+N($K$10)/100)/$O$7,0)*$O$7,2)))</f>
        <v/>
      </c>
      <c r="O278">
        <f>IF(B278="","",MAX($O$12:O277)+1)</f>
        <v/>
      </c>
      <c r="P278">
        <f>IF(AND(B278="",G278&lt;&gt;""),1,0)</f>
        <v/>
      </c>
    </row>
    <row r="279">
      <c r="A279" s="21" t="n"/>
      <c r="B279" s="21" t="n"/>
      <c r="C279" s="21" t="n"/>
      <c r="D279" s="22" t="n"/>
      <c r="E279" s="21" t="n"/>
      <c r="F279" s="23" t="n"/>
      <c r="G279" s="24" t="n"/>
      <c r="H279" s="25" t="n"/>
      <c r="I279" s="26">
        <f>IF(OR(NOT(ISNUMBER(G279)),N(D279)&lt;=1),"",ROUND(G279/D279,3))</f>
        <v/>
      </c>
      <c r="J279" s="27">
        <f>IF(G279="","",IF(NOT(ISNUMBER(G279)),"Revisa",IF(H279="","Falta IVA",ROUND(G279*(1+H279/100),2))))</f>
        <v/>
      </c>
      <c r="K279" s="27">
        <f>IF(G279="","",IF(NOT(ISNUMBER(G279)),"Revisa",IF(H279="","Falta IVA",ROUND(G279*(1+(H279+IF(H279=21,5.2,IF(H279=10,1.4,IF(H279=4,0.5,0))))/100),2))))</f>
        <v/>
      </c>
      <c r="L279" s="27">
        <f>IF(G279="","",IF(NOT(ISNUMBER(G279)),"Revisa",ROUND(ROUND(G279*(1+N($K$8)/100)/$O$7,0)*$O$7,2)))</f>
        <v/>
      </c>
      <c r="M279" s="27">
        <f>IF(G279="","",IF(NOT(ISNUMBER(G279)),"Revisa",ROUND(ROUND(G279*(1+N($K$9)/100)/$O$7,0)*$O$7,2)))</f>
        <v/>
      </c>
      <c r="N279" s="27">
        <f>IF(G279="","",IF(NOT(ISNUMBER(G279)),"Revisa",ROUND(ROUND(G279*(1+N($K$10)/100)/$O$7,0)*$O$7,2)))</f>
        <v/>
      </c>
      <c r="O279">
        <f>IF(B279="","",MAX($O$12:O278)+1)</f>
        <v/>
      </c>
      <c r="P279">
        <f>IF(AND(B279="",G279&lt;&gt;""),1,0)</f>
        <v/>
      </c>
    </row>
    <row r="280">
      <c r="A280" s="21" t="n"/>
      <c r="B280" s="21" t="n"/>
      <c r="C280" s="21" t="n"/>
      <c r="D280" s="22" t="n"/>
      <c r="E280" s="21" t="n"/>
      <c r="F280" s="23" t="n"/>
      <c r="G280" s="24" t="n"/>
      <c r="H280" s="25" t="n"/>
      <c r="I280" s="26">
        <f>IF(OR(NOT(ISNUMBER(G280)),N(D280)&lt;=1),"",ROUND(G280/D280,3))</f>
        <v/>
      </c>
      <c r="J280" s="27">
        <f>IF(G280="","",IF(NOT(ISNUMBER(G280)),"Revisa",IF(H280="","Falta IVA",ROUND(G280*(1+H280/100),2))))</f>
        <v/>
      </c>
      <c r="K280" s="27">
        <f>IF(G280="","",IF(NOT(ISNUMBER(G280)),"Revisa",IF(H280="","Falta IVA",ROUND(G280*(1+(H280+IF(H280=21,5.2,IF(H280=10,1.4,IF(H280=4,0.5,0))))/100),2))))</f>
        <v/>
      </c>
      <c r="L280" s="27">
        <f>IF(G280="","",IF(NOT(ISNUMBER(G280)),"Revisa",ROUND(ROUND(G280*(1+N($K$8)/100)/$O$7,0)*$O$7,2)))</f>
        <v/>
      </c>
      <c r="M280" s="27">
        <f>IF(G280="","",IF(NOT(ISNUMBER(G280)),"Revisa",ROUND(ROUND(G280*(1+N($K$9)/100)/$O$7,0)*$O$7,2)))</f>
        <v/>
      </c>
      <c r="N280" s="27">
        <f>IF(G280="","",IF(NOT(ISNUMBER(G280)),"Revisa",ROUND(ROUND(G280*(1+N($K$10)/100)/$O$7,0)*$O$7,2)))</f>
        <v/>
      </c>
      <c r="O280">
        <f>IF(B280="","",MAX($O$12:O279)+1)</f>
        <v/>
      </c>
      <c r="P280">
        <f>IF(AND(B280="",G280&lt;&gt;""),1,0)</f>
        <v/>
      </c>
    </row>
    <row r="281">
      <c r="A281" s="21" t="n"/>
      <c r="B281" s="21" t="n"/>
      <c r="C281" s="21" t="n"/>
      <c r="D281" s="22" t="n"/>
      <c r="E281" s="21" t="n"/>
      <c r="F281" s="23" t="n"/>
      <c r="G281" s="24" t="n"/>
      <c r="H281" s="25" t="n"/>
      <c r="I281" s="26">
        <f>IF(OR(NOT(ISNUMBER(G281)),N(D281)&lt;=1),"",ROUND(G281/D281,3))</f>
        <v/>
      </c>
      <c r="J281" s="27">
        <f>IF(G281="","",IF(NOT(ISNUMBER(G281)),"Revisa",IF(H281="","Falta IVA",ROUND(G281*(1+H281/100),2))))</f>
        <v/>
      </c>
      <c r="K281" s="27">
        <f>IF(G281="","",IF(NOT(ISNUMBER(G281)),"Revisa",IF(H281="","Falta IVA",ROUND(G281*(1+(H281+IF(H281=21,5.2,IF(H281=10,1.4,IF(H281=4,0.5,0))))/100),2))))</f>
        <v/>
      </c>
      <c r="L281" s="27">
        <f>IF(G281="","",IF(NOT(ISNUMBER(G281)),"Revisa",ROUND(ROUND(G281*(1+N($K$8)/100)/$O$7,0)*$O$7,2)))</f>
        <v/>
      </c>
      <c r="M281" s="27">
        <f>IF(G281="","",IF(NOT(ISNUMBER(G281)),"Revisa",ROUND(ROUND(G281*(1+N($K$9)/100)/$O$7,0)*$O$7,2)))</f>
        <v/>
      </c>
      <c r="N281" s="27">
        <f>IF(G281="","",IF(NOT(ISNUMBER(G281)),"Revisa",ROUND(ROUND(G281*(1+N($K$10)/100)/$O$7,0)*$O$7,2)))</f>
        <v/>
      </c>
      <c r="O281">
        <f>IF(B281="","",MAX($O$12:O280)+1)</f>
        <v/>
      </c>
      <c r="P281">
        <f>IF(AND(B281="",G281&lt;&gt;""),1,0)</f>
        <v/>
      </c>
    </row>
    <row r="282">
      <c r="A282" s="21" t="n"/>
      <c r="B282" s="21" t="n"/>
      <c r="C282" s="21" t="n"/>
      <c r="D282" s="22" t="n"/>
      <c r="E282" s="21" t="n"/>
      <c r="F282" s="23" t="n"/>
      <c r="G282" s="24" t="n"/>
      <c r="H282" s="25" t="n"/>
      <c r="I282" s="26">
        <f>IF(OR(NOT(ISNUMBER(G282)),N(D282)&lt;=1),"",ROUND(G282/D282,3))</f>
        <v/>
      </c>
      <c r="J282" s="27">
        <f>IF(G282="","",IF(NOT(ISNUMBER(G282)),"Revisa",IF(H282="","Falta IVA",ROUND(G282*(1+H282/100),2))))</f>
        <v/>
      </c>
      <c r="K282" s="27">
        <f>IF(G282="","",IF(NOT(ISNUMBER(G282)),"Revisa",IF(H282="","Falta IVA",ROUND(G282*(1+(H282+IF(H282=21,5.2,IF(H282=10,1.4,IF(H282=4,0.5,0))))/100),2))))</f>
        <v/>
      </c>
      <c r="L282" s="27">
        <f>IF(G282="","",IF(NOT(ISNUMBER(G282)),"Revisa",ROUND(ROUND(G282*(1+N($K$8)/100)/$O$7,0)*$O$7,2)))</f>
        <v/>
      </c>
      <c r="M282" s="27">
        <f>IF(G282="","",IF(NOT(ISNUMBER(G282)),"Revisa",ROUND(ROUND(G282*(1+N($K$9)/100)/$O$7,0)*$O$7,2)))</f>
        <v/>
      </c>
      <c r="N282" s="27">
        <f>IF(G282="","",IF(NOT(ISNUMBER(G282)),"Revisa",ROUND(ROUND(G282*(1+N($K$10)/100)/$O$7,0)*$O$7,2)))</f>
        <v/>
      </c>
      <c r="O282">
        <f>IF(B282="","",MAX($O$12:O281)+1)</f>
        <v/>
      </c>
      <c r="P282">
        <f>IF(AND(B282="",G282&lt;&gt;""),1,0)</f>
        <v/>
      </c>
    </row>
    <row r="283">
      <c r="A283" s="21" t="n"/>
      <c r="B283" s="21" t="n"/>
      <c r="C283" s="21" t="n"/>
      <c r="D283" s="22" t="n"/>
      <c r="E283" s="21" t="n"/>
      <c r="F283" s="23" t="n"/>
      <c r="G283" s="24" t="n"/>
      <c r="H283" s="25" t="n"/>
      <c r="I283" s="26">
        <f>IF(OR(NOT(ISNUMBER(G283)),N(D283)&lt;=1),"",ROUND(G283/D283,3))</f>
        <v/>
      </c>
      <c r="J283" s="27">
        <f>IF(G283="","",IF(NOT(ISNUMBER(G283)),"Revisa",IF(H283="","Falta IVA",ROUND(G283*(1+H283/100),2))))</f>
        <v/>
      </c>
      <c r="K283" s="27">
        <f>IF(G283="","",IF(NOT(ISNUMBER(G283)),"Revisa",IF(H283="","Falta IVA",ROUND(G283*(1+(H283+IF(H283=21,5.2,IF(H283=10,1.4,IF(H283=4,0.5,0))))/100),2))))</f>
        <v/>
      </c>
      <c r="L283" s="27">
        <f>IF(G283="","",IF(NOT(ISNUMBER(G283)),"Revisa",ROUND(ROUND(G283*(1+N($K$8)/100)/$O$7,0)*$O$7,2)))</f>
        <v/>
      </c>
      <c r="M283" s="27">
        <f>IF(G283="","",IF(NOT(ISNUMBER(G283)),"Revisa",ROUND(ROUND(G283*(1+N($K$9)/100)/$O$7,0)*$O$7,2)))</f>
        <v/>
      </c>
      <c r="N283" s="27">
        <f>IF(G283="","",IF(NOT(ISNUMBER(G283)),"Revisa",ROUND(ROUND(G283*(1+N($K$10)/100)/$O$7,0)*$O$7,2)))</f>
        <v/>
      </c>
      <c r="O283">
        <f>IF(B283="","",MAX($O$12:O282)+1)</f>
        <v/>
      </c>
      <c r="P283">
        <f>IF(AND(B283="",G283&lt;&gt;""),1,0)</f>
        <v/>
      </c>
    </row>
    <row r="284">
      <c r="A284" s="21" t="n"/>
      <c r="B284" s="21" t="n"/>
      <c r="C284" s="21" t="n"/>
      <c r="D284" s="22" t="n"/>
      <c r="E284" s="21" t="n"/>
      <c r="F284" s="23" t="n"/>
      <c r="G284" s="24" t="n"/>
      <c r="H284" s="25" t="n"/>
      <c r="I284" s="26">
        <f>IF(OR(NOT(ISNUMBER(G284)),N(D284)&lt;=1),"",ROUND(G284/D284,3))</f>
        <v/>
      </c>
      <c r="J284" s="27">
        <f>IF(G284="","",IF(NOT(ISNUMBER(G284)),"Revisa",IF(H284="","Falta IVA",ROUND(G284*(1+H284/100),2))))</f>
        <v/>
      </c>
      <c r="K284" s="27">
        <f>IF(G284="","",IF(NOT(ISNUMBER(G284)),"Revisa",IF(H284="","Falta IVA",ROUND(G284*(1+(H284+IF(H284=21,5.2,IF(H284=10,1.4,IF(H284=4,0.5,0))))/100),2))))</f>
        <v/>
      </c>
      <c r="L284" s="27">
        <f>IF(G284="","",IF(NOT(ISNUMBER(G284)),"Revisa",ROUND(ROUND(G284*(1+N($K$8)/100)/$O$7,0)*$O$7,2)))</f>
        <v/>
      </c>
      <c r="M284" s="27">
        <f>IF(G284="","",IF(NOT(ISNUMBER(G284)),"Revisa",ROUND(ROUND(G284*(1+N($K$9)/100)/$O$7,0)*$O$7,2)))</f>
        <v/>
      </c>
      <c r="N284" s="27">
        <f>IF(G284="","",IF(NOT(ISNUMBER(G284)),"Revisa",ROUND(ROUND(G284*(1+N($K$10)/100)/$O$7,0)*$O$7,2)))</f>
        <v/>
      </c>
      <c r="O284">
        <f>IF(B284="","",MAX($O$12:O283)+1)</f>
        <v/>
      </c>
      <c r="P284">
        <f>IF(AND(B284="",G284&lt;&gt;""),1,0)</f>
        <v/>
      </c>
    </row>
    <row r="285">
      <c r="A285" s="21" t="n"/>
      <c r="B285" s="21" t="n"/>
      <c r="C285" s="21" t="n"/>
      <c r="D285" s="22" t="n"/>
      <c r="E285" s="21" t="n"/>
      <c r="F285" s="23" t="n"/>
      <c r="G285" s="24" t="n"/>
      <c r="H285" s="25" t="n"/>
      <c r="I285" s="26">
        <f>IF(OR(NOT(ISNUMBER(G285)),N(D285)&lt;=1),"",ROUND(G285/D285,3))</f>
        <v/>
      </c>
      <c r="J285" s="27">
        <f>IF(G285="","",IF(NOT(ISNUMBER(G285)),"Revisa",IF(H285="","Falta IVA",ROUND(G285*(1+H285/100),2))))</f>
        <v/>
      </c>
      <c r="K285" s="27">
        <f>IF(G285="","",IF(NOT(ISNUMBER(G285)),"Revisa",IF(H285="","Falta IVA",ROUND(G285*(1+(H285+IF(H285=21,5.2,IF(H285=10,1.4,IF(H285=4,0.5,0))))/100),2))))</f>
        <v/>
      </c>
      <c r="L285" s="27">
        <f>IF(G285="","",IF(NOT(ISNUMBER(G285)),"Revisa",ROUND(ROUND(G285*(1+N($K$8)/100)/$O$7,0)*$O$7,2)))</f>
        <v/>
      </c>
      <c r="M285" s="27">
        <f>IF(G285="","",IF(NOT(ISNUMBER(G285)),"Revisa",ROUND(ROUND(G285*(1+N($K$9)/100)/$O$7,0)*$O$7,2)))</f>
        <v/>
      </c>
      <c r="N285" s="27">
        <f>IF(G285="","",IF(NOT(ISNUMBER(G285)),"Revisa",ROUND(ROUND(G285*(1+N($K$10)/100)/$O$7,0)*$O$7,2)))</f>
        <v/>
      </c>
      <c r="O285">
        <f>IF(B285="","",MAX($O$12:O284)+1)</f>
        <v/>
      </c>
      <c r="P285">
        <f>IF(AND(B285="",G285&lt;&gt;""),1,0)</f>
        <v/>
      </c>
    </row>
    <row r="286">
      <c r="A286" s="21" t="n"/>
      <c r="B286" s="21" t="n"/>
      <c r="C286" s="21" t="n"/>
      <c r="D286" s="22" t="n"/>
      <c r="E286" s="21" t="n"/>
      <c r="F286" s="23" t="n"/>
      <c r="G286" s="24" t="n"/>
      <c r="H286" s="25" t="n"/>
      <c r="I286" s="26">
        <f>IF(OR(NOT(ISNUMBER(G286)),N(D286)&lt;=1),"",ROUND(G286/D286,3))</f>
        <v/>
      </c>
      <c r="J286" s="27">
        <f>IF(G286="","",IF(NOT(ISNUMBER(G286)),"Revisa",IF(H286="","Falta IVA",ROUND(G286*(1+H286/100),2))))</f>
        <v/>
      </c>
      <c r="K286" s="27">
        <f>IF(G286="","",IF(NOT(ISNUMBER(G286)),"Revisa",IF(H286="","Falta IVA",ROUND(G286*(1+(H286+IF(H286=21,5.2,IF(H286=10,1.4,IF(H286=4,0.5,0))))/100),2))))</f>
        <v/>
      </c>
      <c r="L286" s="27">
        <f>IF(G286="","",IF(NOT(ISNUMBER(G286)),"Revisa",ROUND(ROUND(G286*(1+N($K$8)/100)/$O$7,0)*$O$7,2)))</f>
        <v/>
      </c>
      <c r="M286" s="27">
        <f>IF(G286="","",IF(NOT(ISNUMBER(G286)),"Revisa",ROUND(ROUND(G286*(1+N($K$9)/100)/$O$7,0)*$O$7,2)))</f>
        <v/>
      </c>
      <c r="N286" s="27">
        <f>IF(G286="","",IF(NOT(ISNUMBER(G286)),"Revisa",ROUND(ROUND(G286*(1+N($K$10)/100)/$O$7,0)*$O$7,2)))</f>
        <v/>
      </c>
      <c r="O286">
        <f>IF(B286="","",MAX($O$12:O285)+1)</f>
        <v/>
      </c>
      <c r="P286">
        <f>IF(AND(B286="",G286&lt;&gt;""),1,0)</f>
        <v/>
      </c>
    </row>
    <row r="287">
      <c r="A287" s="21" t="n"/>
      <c r="B287" s="21" t="n"/>
      <c r="C287" s="21" t="n"/>
      <c r="D287" s="22" t="n"/>
      <c r="E287" s="21" t="n"/>
      <c r="F287" s="23" t="n"/>
      <c r="G287" s="24" t="n"/>
      <c r="H287" s="25" t="n"/>
      <c r="I287" s="26">
        <f>IF(OR(NOT(ISNUMBER(G287)),N(D287)&lt;=1),"",ROUND(G287/D287,3))</f>
        <v/>
      </c>
      <c r="J287" s="27">
        <f>IF(G287="","",IF(NOT(ISNUMBER(G287)),"Revisa",IF(H287="","Falta IVA",ROUND(G287*(1+H287/100),2))))</f>
        <v/>
      </c>
      <c r="K287" s="27">
        <f>IF(G287="","",IF(NOT(ISNUMBER(G287)),"Revisa",IF(H287="","Falta IVA",ROUND(G287*(1+(H287+IF(H287=21,5.2,IF(H287=10,1.4,IF(H287=4,0.5,0))))/100),2))))</f>
        <v/>
      </c>
      <c r="L287" s="27">
        <f>IF(G287="","",IF(NOT(ISNUMBER(G287)),"Revisa",ROUND(ROUND(G287*(1+N($K$8)/100)/$O$7,0)*$O$7,2)))</f>
        <v/>
      </c>
      <c r="M287" s="27">
        <f>IF(G287="","",IF(NOT(ISNUMBER(G287)),"Revisa",ROUND(ROUND(G287*(1+N($K$9)/100)/$O$7,0)*$O$7,2)))</f>
        <v/>
      </c>
      <c r="N287" s="27">
        <f>IF(G287="","",IF(NOT(ISNUMBER(G287)),"Revisa",ROUND(ROUND(G287*(1+N($K$10)/100)/$O$7,0)*$O$7,2)))</f>
        <v/>
      </c>
      <c r="O287">
        <f>IF(B287="","",MAX($O$12:O286)+1)</f>
        <v/>
      </c>
      <c r="P287">
        <f>IF(AND(B287="",G287&lt;&gt;""),1,0)</f>
        <v/>
      </c>
    </row>
    <row r="288">
      <c r="A288" s="21" t="n"/>
      <c r="B288" s="21" t="n"/>
      <c r="C288" s="21" t="n"/>
      <c r="D288" s="22" t="n"/>
      <c r="E288" s="21" t="n"/>
      <c r="F288" s="23" t="n"/>
      <c r="G288" s="24" t="n"/>
      <c r="H288" s="25" t="n"/>
      <c r="I288" s="26">
        <f>IF(OR(NOT(ISNUMBER(G288)),N(D288)&lt;=1),"",ROUND(G288/D288,3))</f>
        <v/>
      </c>
      <c r="J288" s="27">
        <f>IF(G288="","",IF(NOT(ISNUMBER(G288)),"Revisa",IF(H288="","Falta IVA",ROUND(G288*(1+H288/100),2))))</f>
        <v/>
      </c>
      <c r="K288" s="27">
        <f>IF(G288="","",IF(NOT(ISNUMBER(G288)),"Revisa",IF(H288="","Falta IVA",ROUND(G288*(1+(H288+IF(H288=21,5.2,IF(H288=10,1.4,IF(H288=4,0.5,0))))/100),2))))</f>
        <v/>
      </c>
      <c r="L288" s="27">
        <f>IF(G288="","",IF(NOT(ISNUMBER(G288)),"Revisa",ROUND(ROUND(G288*(1+N($K$8)/100)/$O$7,0)*$O$7,2)))</f>
        <v/>
      </c>
      <c r="M288" s="27">
        <f>IF(G288="","",IF(NOT(ISNUMBER(G288)),"Revisa",ROUND(ROUND(G288*(1+N($K$9)/100)/$O$7,0)*$O$7,2)))</f>
        <v/>
      </c>
      <c r="N288" s="27">
        <f>IF(G288="","",IF(NOT(ISNUMBER(G288)),"Revisa",ROUND(ROUND(G288*(1+N($K$10)/100)/$O$7,0)*$O$7,2)))</f>
        <v/>
      </c>
      <c r="O288">
        <f>IF(B288="","",MAX($O$12:O287)+1)</f>
        <v/>
      </c>
      <c r="P288">
        <f>IF(AND(B288="",G288&lt;&gt;""),1,0)</f>
        <v/>
      </c>
    </row>
    <row r="289">
      <c r="A289" s="21" t="n"/>
      <c r="B289" s="21" t="n"/>
      <c r="C289" s="21" t="n"/>
      <c r="D289" s="22" t="n"/>
      <c r="E289" s="21" t="n"/>
      <c r="F289" s="23" t="n"/>
      <c r="G289" s="24" t="n"/>
      <c r="H289" s="25" t="n"/>
      <c r="I289" s="26">
        <f>IF(OR(NOT(ISNUMBER(G289)),N(D289)&lt;=1),"",ROUND(G289/D289,3))</f>
        <v/>
      </c>
      <c r="J289" s="27">
        <f>IF(G289="","",IF(NOT(ISNUMBER(G289)),"Revisa",IF(H289="","Falta IVA",ROUND(G289*(1+H289/100),2))))</f>
        <v/>
      </c>
      <c r="K289" s="27">
        <f>IF(G289="","",IF(NOT(ISNUMBER(G289)),"Revisa",IF(H289="","Falta IVA",ROUND(G289*(1+(H289+IF(H289=21,5.2,IF(H289=10,1.4,IF(H289=4,0.5,0))))/100),2))))</f>
        <v/>
      </c>
      <c r="L289" s="27">
        <f>IF(G289="","",IF(NOT(ISNUMBER(G289)),"Revisa",ROUND(ROUND(G289*(1+N($K$8)/100)/$O$7,0)*$O$7,2)))</f>
        <v/>
      </c>
      <c r="M289" s="27">
        <f>IF(G289="","",IF(NOT(ISNUMBER(G289)),"Revisa",ROUND(ROUND(G289*(1+N($K$9)/100)/$O$7,0)*$O$7,2)))</f>
        <v/>
      </c>
      <c r="N289" s="27">
        <f>IF(G289="","",IF(NOT(ISNUMBER(G289)),"Revisa",ROUND(ROUND(G289*(1+N($K$10)/100)/$O$7,0)*$O$7,2)))</f>
        <v/>
      </c>
      <c r="O289">
        <f>IF(B289="","",MAX($O$12:O288)+1)</f>
        <v/>
      </c>
      <c r="P289">
        <f>IF(AND(B289="",G289&lt;&gt;""),1,0)</f>
        <v/>
      </c>
    </row>
    <row r="290">
      <c r="A290" s="21" t="n"/>
      <c r="B290" s="21" t="n"/>
      <c r="C290" s="21" t="n"/>
      <c r="D290" s="22" t="n"/>
      <c r="E290" s="21" t="n"/>
      <c r="F290" s="23" t="n"/>
      <c r="G290" s="24" t="n"/>
      <c r="H290" s="25" t="n"/>
      <c r="I290" s="26">
        <f>IF(OR(NOT(ISNUMBER(G290)),N(D290)&lt;=1),"",ROUND(G290/D290,3))</f>
        <v/>
      </c>
      <c r="J290" s="27">
        <f>IF(G290="","",IF(NOT(ISNUMBER(G290)),"Revisa",IF(H290="","Falta IVA",ROUND(G290*(1+H290/100),2))))</f>
        <v/>
      </c>
      <c r="K290" s="27">
        <f>IF(G290="","",IF(NOT(ISNUMBER(G290)),"Revisa",IF(H290="","Falta IVA",ROUND(G290*(1+(H290+IF(H290=21,5.2,IF(H290=10,1.4,IF(H290=4,0.5,0))))/100),2))))</f>
        <v/>
      </c>
      <c r="L290" s="27">
        <f>IF(G290="","",IF(NOT(ISNUMBER(G290)),"Revisa",ROUND(ROUND(G290*(1+N($K$8)/100)/$O$7,0)*$O$7,2)))</f>
        <v/>
      </c>
      <c r="M290" s="27">
        <f>IF(G290="","",IF(NOT(ISNUMBER(G290)),"Revisa",ROUND(ROUND(G290*(1+N($K$9)/100)/$O$7,0)*$O$7,2)))</f>
        <v/>
      </c>
      <c r="N290" s="27">
        <f>IF(G290="","",IF(NOT(ISNUMBER(G290)),"Revisa",ROUND(ROUND(G290*(1+N($K$10)/100)/$O$7,0)*$O$7,2)))</f>
        <v/>
      </c>
      <c r="O290">
        <f>IF(B290="","",MAX($O$12:O289)+1)</f>
        <v/>
      </c>
      <c r="P290">
        <f>IF(AND(B290="",G290&lt;&gt;""),1,0)</f>
        <v/>
      </c>
    </row>
    <row r="291">
      <c r="A291" s="21" t="n"/>
      <c r="B291" s="21" t="n"/>
      <c r="C291" s="21" t="n"/>
      <c r="D291" s="22" t="n"/>
      <c r="E291" s="21" t="n"/>
      <c r="F291" s="23" t="n"/>
      <c r="G291" s="24" t="n"/>
      <c r="H291" s="25" t="n"/>
      <c r="I291" s="26">
        <f>IF(OR(NOT(ISNUMBER(G291)),N(D291)&lt;=1),"",ROUND(G291/D291,3))</f>
        <v/>
      </c>
      <c r="J291" s="27">
        <f>IF(G291="","",IF(NOT(ISNUMBER(G291)),"Revisa",IF(H291="","Falta IVA",ROUND(G291*(1+H291/100),2))))</f>
        <v/>
      </c>
      <c r="K291" s="27">
        <f>IF(G291="","",IF(NOT(ISNUMBER(G291)),"Revisa",IF(H291="","Falta IVA",ROUND(G291*(1+(H291+IF(H291=21,5.2,IF(H291=10,1.4,IF(H291=4,0.5,0))))/100),2))))</f>
        <v/>
      </c>
      <c r="L291" s="27">
        <f>IF(G291="","",IF(NOT(ISNUMBER(G291)),"Revisa",ROUND(ROUND(G291*(1+N($K$8)/100)/$O$7,0)*$O$7,2)))</f>
        <v/>
      </c>
      <c r="M291" s="27">
        <f>IF(G291="","",IF(NOT(ISNUMBER(G291)),"Revisa",ROUND(ROUND(G291*(1+N($K$9)/100)/$O$7,0)*$O$7,2)))</f>
        <v/>
      </c>
      <c r="N291" s="27">
        <f>IF(G291="","",IF(NOT(ISNUMBER(G291)),"Revisa",ROUND(ROUND(G291*(1+N($K$10)/100)/$O$7,0)*$O$7,2)))</f>
        <v/>
      </c>
      <c r="O291">
        <f>IF(B291="","",MAX($O$12:O290)+1)</f>
        <v/>
      </c>
      <c r="P291">
        <f>IF(AND(B291="",G291&lt;&gt;""),1,0)</f>
        <v/>
      </c>
    </row>
    <row r="292">
      <c r="A292" s="21" t="n"/>
      <c r="B292" s="21" t="n"/>
      <c r="C292" s="21" t="n"/>
      <c r="D292" s="22" t="n"/>
      <c r="E292" s="21" t="n"/>
      <c r="F292" s="23" t="n"/>
      <c r="G292" s="24" t="n"/>
      <c r="H292" s="25" t="n"/>
      <c r="I292" s="26">
        <f>IF(OR(NOT(ISNUMBER(G292)),N(D292)&lt;=1),"",ROUND(G292/D292,3))</f>
        <v/>
      </c>
      <c r="J292" s="27">
        <f>IF(G292="","",IF(NOT(ISNUMBER(G292)),"Revisa",IF(H292="","Falta IVA",ROUND(G292*(1+H292/100),2))))</f>
        <v/>
      </c>
      <c r="K292" s="27">
        <f>IF(G292="","",IF(NOT(ISNUMBER(G292)),"Revisa",IF(H292="","Falta IVA",ROUND(G292*(1+(H292+IF(H292=21,5.2,IF(H292=10,1.4,IF(H292=4,0.5,0))))/100),2))))</f>
        <v/>
      </c>
      <c r="L292" s="27">
        <f>IF(G292="","",IF(NOT(ISNUMBER(G292)),"Revisa",ROUND(ROUND(G292*(1+N($K$8)/100)/$O$7,0)*$O$7,2)))</f>
        <v/>
      </c>
      <c r="M292" s="27">
        <f>IF(G292="","",IF(NOT(ISNUMBER(G292)),"Revisa",ROUND(ROUND(G292*(1+N($K$9)/100)/$O$7,0)*$O$7,2)))</f>
        <v/>
      </c>
      <c r="N292" s="27">
        <f>IF(G292="","",IF(NOT(ISNUMBER(G292)),"Revisa",ROUND(ROUND(G292*(1+N($K$10)/100)/$O$7,0)*$O$7,2)))</f>
        <v/>
      </c>
      <c r="O292">
        <f>IF(B292="","",MAX($O$12:O291)+1)</f>
        <v/>
      </c>
      <c r="P292">
        <f>IF(AND(B292="",G292&lt;&gt;""),1,0)</f>
        <v/>
      </c>
    </row>
    <row r="293">
      <c r="A293" s="21" t="n"/>
      <c r="B293" s="21" t="n"/>
      <c r="C293" s="21" t="n"/>
      <c r="D293" s="22" t="n"/>
      <c r="E293" s="21" t="n"/>
      <c r="F293" s="23" t="n"/>
      <c r="G293" s="24" t="n"/>
      <c r="H293" s="25" t="n"/>
      <c r="I293" s="26">
        <f>IF(OR(NOT(ISNUMBER(G293)),N(D293)&lt;=1),"",ROUND(G293/D293,3))</f>
        <v/>
      </c>
      <c r="J293" s="27">
        <f>IF(G293="","",IF(NOT(ISNUMBER(G293)),"Revisa",IF(H293="","Falta IVA",ROUND(G293*(1+H293/100),2))))</f>
        <v/>
      </c>
      <c r="K293" s="27">
        <f>IF(G293="","",IF(NOT(ISNUMBER(G293)),"Revisa",IF(H293="","Falta IVA",ROUND(G293*(1+(H293+IF(H293=21,5.2,IF(H293=10,1.4,IF(H293=4,0.5,0))))/100),2))))</f>
        <v/>
      </c>
      <c r="L293" s="27">
        <f>IF(G293="","",IF(NOT(ISNUMBER(G293)),"Revisa",ROUND(ROUND(G293*(1+N($K$8)/100)/$O$7,0)*$O$7,2)))</f>
        <v/>
      </c>
      <c r="M293" s="27">
        <f>IF(G293="","",IF(NOT(ISNUMBER(G293)),"Revisa",ROUND(ROUND(G293*(1+N($K$9)/100)/$O$7,0)*$O$7,2)))</f>
        <v/>
      </c>
      <c r="N293" s="27">
        <f>IF(G293="","",IF(NOT(ISNUMBER(G293)),"Revisa",ROUND(ROUND(G293*(1+N($K$10)/100)/$O$7,0)*$O$7,2)))</f>
        <v/>
      </c>
      <c r="O293">
        <f>IF(B293="","",MAX($O$12:O292)+1)</f>
        <v/>
      </c>
      <c r="P293">
        <f>IF(AND(B293="",G293&lt;&gt;""),1,0)</f>
        <v/>
      </c>
    </row>
    <row r="294">
      <c r="A294" s="21" t="n"/>
      <c r="B294" s="21" t="n"/>
      <c r="C294" s="21" t="n"/>
      <c r="D294" s="22" t="n"/>
      <c r="E294" s="21" t="n"/>
      <c r="F294" s="23" t="n"/>
      <c r="G294" s="24" t="n"/>
      <c r="H294" s="25" t="n"/>
      <c r="I294" s="26">
        <f>IF(OR(NOT(ISNUMBER(G294)),N(D294)&lt;=1),"",ROUND(G294/D294,3))</f>
        <v/>
      </c>
      <c r="J294" s="27">
        <f>IF(G294="","",IF(NOT(ISNUMBER(G294)),"Revisa",IF(H294="","Falta IVA",ROUND(G294*(1+H294/100),2))))</f>
        <v/>
      </c>
      <c r="K294" s="27">
        <f>IF(G294="","",IF(NOT(ISNUMBER(G294)),"Revisa",IF(H294="","Falta IVA",ROUND(G294*(1+(H294+IF(H294=21,5.2,IF(H294=10,1.4,IF(H294=4,0.5,0))))/100),2))))</f>
        <v/>
      </c>
      <c r="L294" s="27">
        <f>IF(G294="","",IF(NOT(ISNUMBER(G294)),"Revisa",ROUND(ROUND(G294*(1+N($K$8)/100)/$O$7,0)*$O$7,2)))</f>
        <v/>
      </c>
      <c r="M294" s="27">
        <f>IF(G294="","",IF(NOT(ISNUMBER(G294)),"Revisa",ROUND(ROUND(G294*(1+N($K$9)/100)/$O$7,0)*$O$7,2)))</f>
        <v/>
      </c>
      <c r="N294" s="27">
        <f>IF(G294="","",IF(NOT(ISNUMBER(G294)),"Revisa",ROUND(ROUND(G294*(1+N($K$10)/100)/$O$7,0)*$O$7,2)))</f>
        <v/>
      </c>
      <c r="O294">
        <f>IF(B294="","",MAX($O$12:O293)+1)</f>
        <v/>
      </c>
      <c r="P294">
        <f>IF(AND(B294="",G294&lt;&gt;""),1,0)</f>
        <v/>
      </c>
    </row>
    <row r="295">
      <c r="A295" s="21" t="n"/>
      <c r="B295" s="21" t="n"/>
      <c r="C295" s="21" t="n"/>
      <c r="D295" s="22" t="n"/>
      <c r="E295" s="21" t="n"/>
      <c r="F295" s="23" t="n"/>
      <c r="G295" s="24" t="n"/>
      <c r="H295" s="25" t="n"/>
      <c r="I295" s="26">
        <f>IF(OR(NOT(ISNUMBER(G295)),N(D295)&lt;=1),"",ROUND(G295/D295,3))</f>
        <v/>
      </c>
      <c r="J295" s="27">
        <f>IF(G295="","",IF(NOT(ISNUMBER(G295)),"Revisa",IF(H295="","Falta IVA",ROUND(G295*(1+H295/100),2))))</f>
        <v/>
      </c>
      <c r="K295" s="27">
        <f>IF(G295="","",IF(NOT(ISNUMBER(G295)),"Revisa",IF(H295="","Falta IVA",ROUND(G295*(1+(H295+IF(H295=21,5.2,IF(H295=10,1.4,IF(H295=4,0.5,0))))/100),2))))</f>
        <v/>
      </c>
      <c r="L295" s="27">
        <f>IF(G295="","",IF(NOT(ISNUMBER(G295)),"Revisa",ROUND(ROUND(G295*(1+N($K$8)/100)/$O$7,0)*$O$7,2)))</f>
        <v/>
      </c>
      <c r="M295" s="27">
        <f>IF(G295="","",IF(NOT(ISNUMBER(G295)),"Revisa",ROUND(ROUND(G295*(1+N($K$9)/100)/$O$7,0)*$O$7,2)))</f>
        <v/>
      </c>
      <c r="N295" s="27">
        <f>IF(G295="","",IF(NOT(ISNUMBER(G295)),"Revisa",ROUND(ROUND(G295*(1+N($K$10)/100)/$O$7,0)*$O$7,2)))</f>
        <v/>
      </c>
      <c r="O295">
        <f>IF(B295="","",MAX($O$12:O294)+1)</f>
        <v/>
      </c>
      <c r="P295">
        <f>IF(AND(B295="",G295&lt;&gt;""),1,0)</f>
        <v/>
      </c>
    </row>
    <row r="296">
      <c r="A296" s="21" t="n"/>
      <c r="B296" s="21" t="n"/>
      <c r="C296" s="21" t="n"/>
      <c r="D296" s="22" t="n"/>
      <c r="E296" s="21" t="n"/>
      <c r="F296" s="23" t="n"/>
      <c r="G296" s="24" t="n"/>
      <c r="H296" s="25" t="n"/>
      <c r="I296" s="26">
        <f>IF(OR(NOT(ISNUMBER(G296)),N(D296)&lt;=1),"",ROUND(G296/D296,3))</f>
        <v/>
      </c>
      <c r="J296" s="27">
        <f>IF(G296="","",IF(NOT(ISNUMBER(G296)),"Revisa",IF(H296="","Falta IVA",ROUND(G296*(1+H296/100),2))))</f>
        <v/>
      </c>
      <c r="K296" s="27">
        <f>IF(G296="","",IF(NOT(ISNUMBER(G296)),"Revisa",IF(H296="","Falta IVA",ROUND(G296*(1+(H296+IF(H296=21,5.2,IF(H296=10,1.4,IF(H296=4,0.5,0))))/100),2))))</f>
        <v/>
      </c>
      <c r="L296" s="27">
        <f>IF(G296="","",IF(NOT(ISNUMBER(G296)),"Revisa",ROUND(ROUND(G296*(1+N($K$8)/100)/$O$7,0)*$O$7,2)))</f>
        <v/>
      </c>
      <c r="M296" s="27">
        <f>IF(G296="","",IF(NOT(ISNUMBER(G296)),"Revisa",ROUND(ROUND(G296*(1+N($K$9)/100)/$O$7,0)*$O$7,2)))</f>
        <v/>
      </c>
      <c r="N296" s="27">
        <f>IF(G296="","",IF(NOT(ISNUMBER(G296)),"Revisa",ROUND(ROUND(G296*(1+N($K$10)/100)/$O$7,0)*$O$7,2)))</f>
        <v/>
      </c>
      <c r="O296">
        <f>IF(B296="","",MAX($O$12:O295)+1)</f>
        <v/>
      </c>
      <c r="P296">
        <f>IF(AND(B296="",G296&lt;&gt;""),1,0)</f>
        <v/>
      </c>
    </row>
    <row r="297">
      <c r="A297" s="21" t="n"/>
      <c r="B297" s="21" t="n"/>
      <c r="C297" s="21" t="n"/>
      <c r="D297" s="22" t="n"/>
      <c r="E297" s="21" t="n"/>
      <c r="F297" s="23" t="n"/>
      <c r="G297" s="24" t="n"/>
      <c r="H297" s="25" t="n"/>
      <c r="I297" s="26">
        <f>IF(OR(NOT(ISNUMBER(G297)),N(D297)&lt;=1),"",ROUND(G297/D297,3))</f>
        <v/>
      </c>
      <c r="J297" s="27">
        <f>IF(G297="","",IF(NOT(ISNUMBER(G297)),"Revisa",IF(H297="","Falta IVA",ROUND(G297*(1+H297/100),2))))</f>
        <v/>
      </c>
      <c r="K297" s="27">
        <f>IF(G297="","",IF(NOT(ISNUMBER(G297)),"Revisa",IF(H297="","Falta IVA",ROUND(G297*(1+(H297+IF(H297=21,5.2,IF(H297=10,1.4,IF(H297=4,0.5,0))))/100),2))))</f>
        <v/>
      </c>
      <c r="L297" s="27">
        <f>IF(G297="","",IF(NOT(ISNUMBER(G297)),"Revisa",ROUND(ROUND(G297*(1+N($K$8)/100)/$O$7,0)*$O$7,2)))</f>
        <v/>
      </c>
      <c r="M297" s="27">
        <f>IF(G297="","",IF(NOT(ISNUMBER(G297)),"Revisa",ROUND(ROUND(G297*(1+N($K$9)/100)/$O$7,0)*$O$7,2)))</f>
        <v/>
      </c>
      <c r="N297" s="27">
        <f>IF(G297="","",IF(NOT(ISNUMBER(G297)),"Revisa",ROUND(ROUND(G297*(1+N($K$10)/100)/$O$7,0)*$O$7,2)))</f>
        <v/>
      </c>
      <c r="O297">
        <f>IF(B297="","",MAX($O$12:O296)+1)</f>
        <v/>
      </c>
      <c r="P297">
        <f>IF(AND(B297="",G297&lt;&gt;""),1,0)</f>
        <v/>
      </c>
    </row>
    <row r="298">
      <c r="A298" s="21" t="n"/>
      <c r="B298" s="21" t="n"/>
      <c r="C298" s="21" t="n"/>
      <c r="D298" s="22" t="n"/>
      <c r="E298" s="21" t="n"/>
      <c r="F298" s="23" t="n"/>
      <c r="G298" s="24" t="n"/>
      <c r="H298" s="25" t="n"/>
      <c r="I298" s="26">
        <f>IF(OR(NOT(ISNUMBER(G298)),N(D298)&lt;=1),"",ROUND(G298/D298,3))</f>
        <v/>
      </c>
      <c r="J298" s="27">
        <f>IF(G298="","",IF(NOT(ISNUMBER(G298)),"Revisa",IF(H298="","Falta IVA",ROUND(G298*(1+H298/100),2))))</f>
        <v/>
      </c>
      <c r="K298" s="27">
        <f>IF(G298="","",IF(NOT(ISNUMBER(G298)),"Revisa",IF(H298="","Falta IVA",ROUND(G298*(1+(H298+IF(H298=21,5.2,IF(H298=10,1.4,IF(H298=4,0.5,0))))/100),2))))</f>
        <v/>
      </c>
      <c r="L298" s="27">
        <f>IF(G298="","",IF(NOT(ISNUMBER(G298)),"Revisa",ROUND(ROUND(G298*(1+N($K$8)/100)/$O$7,0)*$O$7,2)))</f>
        <v/>
      </c>
      <c r="M298" s="27">
        <f>IF(G298="","",IF(NOT(ISNUMBER(G298)),"Revisa",ROUND(ROUND(G298*(1+N($K$9)/100)/$O$7,0)*$O$7,2)))</f>
        <v/>
      </c>
      <c r="N298" s="27">
        <f>IF(G298="","",IF(NOT(ISNUMBER(G298)),"Revisa",ROUND(ROUND(G298*(1+N($K$10)/100)/$O$7,0)*$O$7,2)))</f>
        <v/>
      </c>
      <c r="O298">
        <f>IF(B298="","",MAX($O$12:O297)+1)</f>
        <v/>
      </c>
      <c r="P298">
        <f>IF(AND(B298="",G298&lt;&gt;""),1,0)</f>
        <v/>
      </c>
    </row>
    <row r="299">
      <c r="A299" s="21" t="n"/>
      <c r="B299" s="21" t="n"/>
      <c r="C299" s="21" t="n"/>
      <c r="D299" s="22" t="n"/>
      <c r="E299" s="21" t="n"/>
      <c r="F299" s="23" t="n"/>
      <c r="G299" s="24" t="n"/>
      <c r="H299" s="25" t="n"/>
      <c r="I299" s="26">
        <f>IF(OR(NOT(ISNUMBER(G299)),N(D299)&lt;=1),"",ROUND(G299/D299,3))</f>
        <v/>
      </c>
      <c r="J299" s="27">
        <f>IF(G299="","",IF(NOT(ISNUMBER(G299)),"Revisa",IF(H299="","Falta IVA",ROUND(G299*(1+H299/100),2))))</f>
        <v/>
      </c>
      <c r="K299" s="27">
        <f>IF(G299="","",IF(NOT(ISNUMBER(G299)),"Revisa",IF(H299="","Falta IVA",ROUND(G299*(1+(H299+IF(H299=21,5.2,IF(H299=10,1.4,IF(H299=4,0.5,0))))/100),2))))</f>
        <v/>
      </c>
      <c r="L299" s="27">
        <f>IF(G299="","",IF(NOT(ISNUMBER(G299)),"Revisa",ROUND(ROUND(G299*(1+N($K$8)/100)/$O$7,0)*$O$7,2)))</f>
        <v/>
      </c>
      <c r="M299" s="27">
        <f>IF(G299="","",IF(NOT(ISNUMBER(G299)),"Revisa",ROUND(ROUND(G299*(1+N($K$9)/100)/$O$7,0)*$O$7,2)))</f>
        <v/>
      </c>
      <c r="N299" s="27">
        <f>IF(G299="","",IF(NOT(ISNUMBER(G299)),"Revisa",ROUND(ROUND(G299*(1+N($K$10)/100)/$O$7,0)*$O$7,2)))</f>
        <v/>
      </c>
      <c r="O299">
        <f>IF(B299="","",MAX($O$12:O298)+1)</f>
        <v/>
      </c>
      <c r="P299">
        <f>IF(AND(B299="",G299&lt;&gt;""),1,0)</f>
        <v/>
      </c>
    </row>
    <row r="300">
      <c r="A300" s="21" t="n"/>
      <c r="B300" s="21" t="n"/>
      <c r="C300" s="21" t="n"/>
      <c r="D300" s="22" t="n"/>
      <c r="E300" s="21" t="n"/>
      <c r="F300" s="23" t="n"/>
      <c r="G300" s="24" t="n"/>
      <c r="H300" s="25" t="n"/>
      <c r="I300" s="26">
        <f>IF(OR(NOT(ISNUMBER(G300)),N(D300)&lt;=1),"",ROUND(G300/D300,3))</f>
        <v/>
      </c>
      <c r="J300" s="27">
        <f>IF(G300="","",IF(NOT(ISNUMBER(G300)),"Revisa",IF(H300="","Falta IVA",ROUND(G300*(1+H300/100),2))))</f>
        <v/>
      </c>
      <c r="K300" s="27">
        <f>IF(G300="","",IF(NOT(ISNUMBER(G300)),"Revisa",IF(H300="","Falta IVA",ROUND(G300*(1+(H300+IF(H300=21,5.2,IF(H300=10,1.4,IF(H300=4,0.5,0))))/100),2))))</f>
        <v/>
      </c>
      <c r="L300" s="27">
        <f>IF(G300="","",IF(NOT(ISNUMBER(G300)),"Revisa",ROUND(ROUND(G300*(1+N($K$8)/100)/$O$7,0)*$O$7,2)))</f>
        <v/>
      </c>
      <c r="M300" s="27">
        <f>IF(G300="","",IF(NOT(ISNUMBER(G300)),"Revisa",ROUND(ROUND(G300*(1+N($K$9)/100)/$O$7,0)*$O$7,2)))</f>
        <v/>
      </c>
      <c r="N300" s="27">
        <f>IF(G300="","",IF(NOT(ISNUMBER(G300)),"Revisa",ROUND(ROUND(G300*(1+N($K$10)/100)/$O$7,0)*$O$7,2)))</f>
        <v/>
      </c>
      <c r="O300">
        <f>IF(B300="","",MAX($O$12:O299)+1)</f>
        <v/>
      </c>
      <c r="P300">
        <f>IF(AND(B300="",G300&lt;&gt;""),1,0)</f>
        <v/>
      </c>
    </row>
    <row r="301">
      <c r="A301" s="21" t="n"/>
      <c r="B301" s="21" t="n"/>
      <c r="C301" s="21" t="n"/>
      <c r="D301" s="22" t="n"/>
      <c r="E301" s="21" t="n"/>
      <c r="F301" s="23" t="n"/>
      <c r="G301" s="24" t="n"/>
      <c r="H301" s="25" t="n"/>
      <c r="I301" s="26">
        <f>IF(OR(NOT(ISNUMBER(G301)),N(D301)&lt;=1),"",ROUND(G301/D301,3))</f>
        <v/>
      </c>
      <c r="J301" s="27">
        <f>IF(G301="","",IF(NOT(ISNUMBER(G301)),"Revisa",IF(H301="","Falta IVA",ROUND(G301*(1+H301/100),2))))</f>
        <v/>
      </c>
      <c r="K301" s="27">
        <f>IF(G301="","",IF(NOT(ISNUMBER(G301)),"Revisa",IF(H301="","Falta IVA",ROUND(G301*(1+(H301+IF(H301=21,5.2,IF(H301=10,1.4,IF(H301=4,0.5,0))))/100),2))))</f>
        <v/>
      </c>
      <c r="L301" s="27">
        <f>IF(G301="","",IF(NOT(ISNUMBER(G301)),"Revisa",ROUND(ROUND(G301*(1+N($K$8)/100)/$O$7,0)*$O$7,2)))</f>
        <v/>
      </c>
      <c r="M301" s="27">
        <f>IF(G301="","",IF(NOT(ISNUMBER(G301)),"Revisa",ROUND(ROUND(G301*(1+N($K$9)/100)/$O$7,0)*$O$7,2)))</f>
        <v/>
      </c>
      <c r="N301" s="27">
        <f>IF(G301="","",IF(NOT(ISNUMBER(G301)),"Revisa",ROUND(ROUND(G301*(1+N($K$10)/100)/$O$7,0)*$O$7,2)))</f>
        <v/>
      </c>
      <c r="O301">
        <f>IF(B301="","",MAX($O$12:O300)+1)</f>
        <v/>
      </c>
      <c r="P301">
        <f>IF(AND(B301="",G301&lt;&gt;""),1,0)</f>
        <v/>
      </c>
    </row>
    <row r="302">
      <c r="A302" s="21" t="n"/>
      <c r="B302" s="21" t="n"/>
      <c r="C302" s="21" t="n"/>
      <c r="D302" s="22" t="n"/>
      <c r="E302" s="21" t="n"/>
      <c r="F302" s="23" t="n"/>
      <c r="G302" s="24" t="n"/>
      <c r="H302" s="25" t="n"/>
      <c r="I302" s="26">
        <f>IF(OR(NOT(ISNUMBER(G302)),N(D302)&lt;=1),"",ROUND(G302/D302,3))</f>
        <v/>
      </c>
      <c r="J302" s="27">
        <f>IF(G302="","",IF(NOT(ISNUMBER(G302)),"Revisa",IF(H302="","Falta IVA",ROUND(G302*(1+H302/100),2))))</f>
        <v/>
      </c>
      <c r="K302" s="27">
        <f>IF(G302="","",IF(NOT(ISNUMBER(G302)),"Revisa",IF(H302="","Falta IVA",ROUND(G302*(1+(H302+IF(H302=21,5.2,IF(H302=10,1.4,IF(H302=4,0.5,0))))/100),2))))</f>
        <v/>
      </c>
      <c r="L302" s="27">
        <f>IF(G302="","",IF(NOT(ISNUMBER(G302)),"Revisa",ROUND(ROUND(G302*(1+N($K$8)/100)/$O$7,0)*$O$7,2)))</f>
        <v/>
      </c>
      <c r="M302" s="27">
        <f>IF(G302="","",IF(NOT(ISNUMBER(G302)),"Revisa",ROUND(ROUND(G302*(1+N($K$9)/100)/$O$7,0)*$O$7,2)))</f>
        <v/>
      </c>
      <c r="N302" s="27">
        <f>IF(G302="","",IF(NOT(ISNUMBER(G302)),"Revisa",ROUND(ROUND(G302*(1+N($K$10)/100)/$O$7,0)*$O$7,2)))</f>
        <v/>
      </c>
      <c r="O302">
        <f>IF(B302="","",MAX($O$12:O301)+1)</f>
        <v/>
      </c>
      <c r="P302">
        <f>IF(AND(B302="",G302&lt;&gt;""),1,0)</f>
        <v/>
      </c>
    </row>
    <row r="303">
      <c r="A303" s="21" t="n"/>
      <c r="B303" s="21" t="n"/>
      <c r="C303" s="21" t="n"/>
      <c r="D303" s="22" t="n"/>
      <c r="E303" s="21" t="n"/>
      <c r="F303" s="23" t="n"/>
      <c r="G303" s="24" t="n"/>
      <c r="H303" s="25" t="n"/>
      <c r="I303" s="26">
        <f>IF(OR(NOT(ISNUMBER(G303)),N(D303)&lt;=1),"",ROUND(G303/D303,3))</f>
        <v/>
      </c>
      <c r="J303" s="27">
        <f>IF(G303="","",IF(NOT(ISNUMBER(G303)),"Revisa",IF(H303="","Falta IVA",ROUND(G303*(1+H303/100),2))))</f>
        <v/>
      </c>
      <c r="K303" s="27">
        <f>IF(G303="","",IF(NOT(ISNUMBER(G303)),"Revisa",IF(H303="","Falta IVA",ROUND(G303*(1+(H303+IF(H303=21,5.2,IF(H303=10,1.4,IF(H303=4,0.5,0))))/100),2))))</f>
        <v/>
      </c>
      <c r="L303" s="27">
        <f>IF(G303="","",IF(NOT(ISNUMBER(G303)),"Revisa",ROUND(ROUND(G303*(1+N($K$8)/100)/$O$7,0)*$O$7,2)))</f>
        <v/>
      </c>
      <c r="M303" s="27">
        <f>IF(G303="","",IF(NOT(ISNUMBER(G303)),"Revisa",ROUND(ROUND(G303*(1+N($K$9)/100)/$O$7,0)*$O$7,2)))</f>
        <v/>
      </c>
      <c r="N303" s="27">
        <f>IF(G303="","",IF(NOT(ISNUMBER(G303)),"Revisa",ROUND(ROUND(G303*(1+N($K$10)/100)/$O$7,0)*$O$7,2)))</f>
        <v/>
      </c>
      <c r="O303">
        <f>IF(B303="","",MAX($O$12:O302)+1)</f>
        <v/>
      </c>
      <c r="P303">
        <f>IF(AND(B303="",G303&lt;&gt;""),1,0)</f>
        <v/>
      </c>
    </row>
    <row r="304">
      <c r="A304" s="21" t="n"/>
      <c r="B304" s="21" t="n"/>
      <c r="C304" s="21" t="n"/>
      <c r="D304" s="22" t="n"/>
      <c r="E304" s="21" t="n"/>
      <c r="F304" s="23" t="n"/>
      <c r="G304" s="24" t="n"/>
      <c r="H304" s="25" t="n"/>
      <c r="I304" s="26">
        <f>IF(OR(NOT(ISNUMBER(G304)),N(D304)&lt;=1),"",ROUND(G304/D304,3))</f>
        <v/>
      </c>
      <c r="J304" s="27">
        <f>IF(G304="","",IF(NOT(ISNUMBER(G304)),"Revisa",IF(H304="","Falta IVA",ROUND(G304*(1+H304/100),2))))</f>
        <v/>
      </c>
      <c r="K304" s="27">
        <f>IF(G304="","",IF(NOT(ISNUMBER(G304)),"Revisa",IF(H304="","Falta IVA",ROUND(G304*(1+(H304+IF(H304=21,5.2,IF(H304=10,1.4,IF(H304=4,0.5,0))))/100),2))))</f>
        <v/>
      </c>
      <c r="L304" s="27">
        <f>IF(G304="","",IF(NOT(ISNUMBER(G304)),"Revisa",ROUND(ROUND(G304*(1+N($K$8)/100)/$O$7,0)*$O$7,2)))</f>
        <v/>
      </c>
      <c r="M304" s="27">
        <f>IF(G304="","",IF(NOT(ISNUMBER(G304)),"Revisa",ROUND(ROUND(G304*(1+N($K$9)/100)/$O$7,0)*$O$7,2)))</f>
        <v/>
      </c>
      <c r="N304" s="27">
        <f>IF(G304="","",IF(NOT(ISNUMBER(G304)),"Revisa",ROUND(ROUND(G304*(1+N($K$10)/100)/$O$7,0)*$O$7,2)))</f>
        <v/>
      </c>
      <c r="O304">
        <f>IF(B304="","",MAX($O$12:O303)+1)</f>
        <v/>
      </c>
      <c r="P304">
        <f>IF(AND(B304="",G304&lt;&gt;""),1,0)</f>
        <v/>
      </c>
    </row>
    <row r="305">
      <c r="A305" s="21" t="n"/>
      <c r="B305" s="21" t="n"/>
      <c r="C305" s="21" t="n"/>
      <c r="D305" s="22" t="n"/>
      <c r="E305" s="21" t="n"/>
      <c r="F305" s="23" t="n"/>
      <c r="G305" s="24" t="n"/>
      <c r="H305" s="25" t="n"/>
      <c r="I305" s="26">
        <f>IF(OR(NOT(ISNUMBER(G305)),N(D305)&lt;=1),"",ROUND(G305/D305,3))</f>
        <v/>
      </c>
      <c r="J305" s="27">
        <f>IF(G305="","",IF(NOT(ISNUMBER(G305)),"Revisa",IF(H305="","Falta IVA",ROUND(G305*(1+H305/100),2))))</f>
        <v/>
      </c>
      <c r="K305" s="27">
        <f>IF(G305="","",IF(NOT(ISNUMBER(G305)),"Revisa",IF(H305="","Falta IVA",ROUND(G305*(1+(H305+IF(H305=21,5.2,IF(H305=10,1.4,IF(H305=4,0.5,0))))/100),2))))</f>
        <v/>
      </c>
      <c r="L305" s="27">
        <f>IF(G305="","",IF(NOT(ISNUMBER(G305)),"Revisa",ROUND(ROUND(G305*(1+N($K$8)/100)/$O$7,0)*$O$7,2)))</f>
        <v/>
      </c>
      <c r="M305" s="27">
        <f>IF(G305="","",IF(NOT(ISNUMBER(G305)),"Revisa",ROUND(ROUND(G305*(1+N($K$9)/100)/$O$7,0)*$O$7,2)))</f>
        <v/>
      </c>
      <c r="N305" s="27">
        <f>IF(G305="","",IF(NOT(ISNUMBER(G305)),"Revisa",ROUND(ROUND(G305*(1+N($K$10)/100)/$O$7,0)*$O$7,2)))</f>
        <v/>
      </c>
      <c r="O305">
        <f>IF(B305="","",MAX($O$12:O304)+1)</f>
        <v/>
      </c>
      <c r="P305">
        <f>IF(AND(B305="",G305&lt;&gt;""),1,0)</f>
        <v/>
      </c>
    </row>
    <row r="306">
      <c r="A306" s="21" t="n"/>
      <c r="B306" s="21" t="n"/>
      <c r="C306" s="21" t="n"/>
      <c r="D306" s="22" t="n"/>
      <c r="E306" s="21" t="n"/>
      <c r="F306" s="23" t="n"/>
      <c r="G306" s="24" t="n"/>
      <c r="H306" s="25" t="n"/>
      <c r="I306" s="26">
        <f>IF(OR(NOT(ISNUMBER(G306)),N(D306)&lt;=1),"",ROUND(G306/D306,3))</f>
        <v/>
      </c>
      <c r="J306" s="27">
        <f>IF(G306="","",IF(NOT(ISNUMBER(G306)),"Revisa",IF(H306="","Falta IVA",ROUND(G306*(1+H306/100),2))))</f>
        <v/>
      </c>
      <c r="K306" s="27">
        <f>IF(G306="","",IF(NOT(ISNUMBER(G306)),"Revisa",IF(H306="","Falta IVA",ROUND(G306*(1+(H306+IF(H306=21,5.2,IF(H306=10,1.4,IF(H306=4,0.5,0))))/100),2))))</f>
        <v/>
      </c>
      <c r="L306" s="27">
        <f>IF(G306="","",IF(NOT(ISNUMBER(G306)),"Revisa",ROUND(ROUND(G306*(1+N($K$8)/100)/$O$7,0)*$O$7,2)))</f>
        <v/>
      </c>
      <c r="M306" s="27">
        <f>IF(G306="","",IF(NOT(ISNUMBER(G306)),"Revisa",ROUND(ROUND(G306*(1+N($K$9)/100)/$O$7,0)*$O$7,2)))</f>
        <v/>
      </c>
      <c r="N306" s="27">
        <f>IF(G306="","",IF(NOT(ISNUMBER(G306)),"Revisa",ROUND(ROUND(G306*(1+N($K$10)/100)/$O$7,0)*$O$7,2)))</f>
        <v/>
      </c>
      <c r="O306">
        <f>IF(B306="","",MAX($O$12:O305)+1)</f>
        <v/>
      </c>
      <c r="P306">
        <f>IF(AND(B306="",G306&lt;&gt;""),1,0)</f>
        <v/>
      </c>
    </row>
    <row r="307">
      <c r="A307" s="21" t="n"/>
      <c r="B307" s="21" t="n"/>
      <c r="C307" s="21" t="n"/>
      <c r="D307" s="22" t="n"/>
      <c r="E307" s="21" t="n"/>
      <c r="F307" s="23" t="n"/>
      <c r="G307" s="24" t="n"/>
      <c r="H307" s="25" t="n"/>
      <c r="I307" s="26">
        <f>IF(OR(NOT(ISNUMBER(G307)),N(D307)&lt;=1),"",ROUND(G307/D307,3))</f>
        <v/>
      </c>
      <c r="J307" s="27">
        <f>IF(G307="","",IF(NOT(ISNUMBER(G307)),"Revisa",IF(H307="","Falta IVA",ROUND(G307*(1+H307/100),2))))</f>
        <v/>
      </c>
      <c r="K307" s="27">
        <f>IF(G307="","",IF(NOT(ISNUMBER(G307)),"Revisa",IF(H307="","Falta IVA",ROUND(G307*(1+(H307+IF(H307=21,5.2,IF(H307=10,1.4,IF(H307=4,0.5,0))))/100),2))))</f>
        <v/>
      </c>
      <c r="L307" s="27">
        <f>IF(G307="","",IF(NOT(ISNUMBER(G307)),"Revisa",ROUND(ROUND(G307*(1+N($K$8)/100)/$O$7,0)*$O$7,2)))</f>
        <v/>
      </c>
      <c r="M307" s="27">
        <f>IF(G307="","",IF(NOT(ISNUMBER(G307)),"Revisa",ROUND(ROUND(G307*(1+N($K$9)/100)/$O$7,0)*$O$7,2)))</f>
        <v/>
      </c>
      <c r="N307" s="27">
        <f>IF(G307="","",IF(NOT(ISNUMBER(G307)),"Revisa",ROUND(ROUND(G307*(1+N($K$10)/100)/$O$7,0)*$O$7,2)))</f>
        <v/>
      </c>
      <c r="O307">
        <f>IF(B307="","",MAX($O$12:O306)+1)</f>
        <v/>
      </c>
      <c r="P307">
        <f>IF(AND(B307="",G307&lt;&gt;""),1,0)</f>
        <v/>
      </c>
    </row>
    <row r="308">
      <c r="A308" s="21" t="n"/>
      <c r="B308" s="21" t="n"/>
      <c r="C308" s="21" t="n"/>
      <c r="D308" s="22" t="n"/>
      <c r="E308" s="21" t="n"/>
      <c r="F308" s="23" t="n"/>
      <c r="G308" s="24" t="n"/>
      <c r="H308" s="25" t="n"/>
      <c r="I308" s="26">
        <f>IF(OR(NOT(ISNUMBER(G308)),N(D308)&lt;=1),"",ROUND(G308/D308,3))</f>
        <v/>
      </c>
      <c r="J308" s="27">
        <f>IF(G308="","",IF(NOT(ISNUMBER(G308)),"Revisa",IF(H308="","Falta IVA",ROUND(G308*(1+H308/100),2))))</f>
        <v/>
      </c>
      <c r="K308" s="27">
        <f>IF(G308="","",IF(NOT(ISNUMBER(G308)),"Revisa",IF(H308="","Falta IVA",ROUND(G308*(1+(H308+IF(H308=21,5.2,IF(H308=10,1.4,IF(H308=4,0.5,0))))/100),2))))</f>
        <v/>
      </c>
      <c r="L308" s="27">
        <f>IF(G308="","",IF(NOT(ISNUMBER(G308)),"Revisa",ROUND(ROUND(G308*(1+N($K$8)/100)/$O$7,0)*$O$7,2)))</f>
        <v/>
      </c>
      <c r="M308" s="27">
        <f>IF(G308="","",IF(NOT(ISNUMBER(G308)),"Revisa",ROUND(ROUND(G308*(1+N($K$9)/100)/$O$7,0)*$O$7,2)))</f>
        <v/>
      </c>
      <c r="N308" s="27">
        <f>IF(G308="","",IF(NOT(ISNUMBER(G308)),"Revisa",ROUND(ROUND(G308*(1+N($K$10)/100)/$O$7,0)*$O$7,2)))</f>
        <v/>
      </c>
      <c r="O308">
        <f>IF(B308="","",MAX($O$12:O307)+1)</f>
        <v/>
      </c>
      <c r="P308">
        <f>IF(AND(B308="",G308&lt;&gt;""),1,0)</f>
        <v/>
      </c>
    </row>
    <row r="309">
      <c r="A309" s="21" t="n"/>
      <c r="B309" s="21" t="n"/>
      <c r="C309" s="21" t="n"/>
      <c r="D309" s="22" t="n"/>
      <c r="E309" s="21" t="n"/>
      <c r="F309" s="23" t="n"/>
      <c r="G309" s="24" t="n"/>
      <c r="H309" s="25" t="n"/>
      <c r="I309" s="26">
        <f>IF(OR(NOT(ISNUMBER(G309)),N(D309)&lt;=1),"",ROUND(G309/D309,3))</f>
        <v/>
      </c>
      <c r="J309" s="27">
        <f>IF(G309="","",IF(NOT(ISNUMBER(G309)),"Revisa",IF(H309="","Falta IVA",ROUND(G309*(1+H309/100),2))))</f>
        <v/>
      </c>
      <c r="K309" s="27">
        <f>IF(G309="","",IF(NOT(ISNUMBER(G309)),"Revisa",IF(H309="","Falta IVA",ROUND(G309*(1+(H309+IF(H309=21,5.2,IF(H309=10,1.4,IF(H309=4,0.5,0))))/100),2))))</f>
        <v/>
      </c>
      <c r="L309" s="27">
        <f>IF(G309="","",IF(NOT(ISNUMBER(G309)),"Revisa",ROUND(ROUND(G309*(1+N($K$8)/100)/$O$7,0)*$O$7,2)))</f>
        <v/>
      </c>
      <c r="M309" s="27">
        <f>IF(G309="","",IF(NOT(ISNUMBER(G309)),"Revisa",ROUND(ROUND(G309*(1+N($K$9)/100)/$O$7,0)*$O$7,2)))</f>
        <v/>
      </c>
      <c r="N309" s="27">
        <f>IF(G309="","",IF(NOT(ISNUMBER(G309)),"Revisa",ROUND(ROUND(G309*(1+N($K$10)/100)/$O$7,0)*$O$7,2)))</f>
        <v/>
      </c>
      <c r="O309">
        <f>IF(B309="","",MAX($O$12:O308)+1)</f>
        <v/>
      </c>
      <c r="P309">
        <f>IF(AND(B309="",G309&lt;&gt;""),1,0)</f>
        <v/>
      </c>
    </row>
    <row r="310">
      <c r="A310" s="21" t="n"/>
      <c r="B310" s="21" t="n"/>
      <c r="C310" s="21" t="n"/>
      <c r="D310" s="22" t="n"/>
      <c r="E310" s="21" t="n"/>
      <c r="F310" s="23" t="n"/>
      <c r="G310" s="24" t="n"/>
      <c r="H310" s="25" t="n"/>
      <c r="I310" s="26">
        <f>IF(OR(NOT(ISNUMBER(G310)),N(D310)&lt;=1),"",ROUND(G310/D310,3))</f>
        <v/>
      </c>
      <c r="J310" s="27">
        <f>IF(G310="","",IF(NOT(ISNUMBER(G310)),"Revisa",IF(H310="","Falta IVA",ROUND(G310*(1+H310/100),2))))</f>
        <v/>
      </c>
      <c r="K310" s="27">
        <f>IF(G310="","",IF(NOT(ISNUMBER(G310)),"Revisa",IF(H310="","Falta IVA",ROUND(G310*(1+(H310+IF(H310=21,5.2,IF(H310=10,1.4,IF(H310=4,0.5,0))))/100),2))))</f>
        <v/>
      </c>
      <c r="L310" s="27">
        <f>IF(G310="","",IF(NOT(ISNUMBER(G310)),"Revisa",ROUND(ROUND(G310*(1+N($K$8)/100)/$O$7,0)*$O$7,2)))</f>
        <v/>
      </c>
      <c r="M310" s="27">
        <f>IF(G310="","",IF(NOT(ISNUMBER(G310)),"Revisa",ROUND(ROUND(G310*(1+N($K$9)/100)/$O$7,0)*$O$7,2)))</f>
        <v/>
      </c>
      <c r="N310" s="27">
        <f>IF(G310="","",IF(NOT(ISNUMBER(G310)),"Revisa",ROUND(ROUND(G310*(1+N($K$10)/100)/$O$7,0)*$O$7,2)))</f>
        <v/>
      </c>
      <c r="O310">
        <f>IF(B310="","",MAX($O$12:O309)+1)</f>
        <v/>
      </c>
      <c r="P310">
        <f>IF(AND(B310="",G310&lt;&gt;""),1,0)</f>
        <v/>
      </c>
    </row>
    <row r="311">
      <c r="A311" s="21" t="n"/>
      <c r="B311" s="21" t="n"/>
      <c r="C311" s="21" t="n"/>
      <c r="D311" s="22" t="n"/>
      <c r="E311" s="21" t="n"/>
      <c r="F311" s="23" t="n"/>
      <c r="G311" s="24" t="n"/>
      <c r="H311" s="25" t="n"/>
      <c r="I311" s="26">
        <f>IF(OR(NOT(ISNUMBER(G311)),N(D311)&lt;=1),"",ROUND(G311/D311,3))</f>
        <v/>
      </c>
      <c r="J311" s="27">
        <f>IF(G311="","",IF(NOT(ISNUMBER(G311)),"Revisa",IF(H311="","Falta IVA",ROUND(G311*(1+H311/100),2))))</f>
        <v/>
      </c>
      <c r="K311" s="27">
        <f>IF(G311="","",IF(NOT(ISNUMBER(G311)),"Revisa",IF(H311="","Falta IVA",ROUND(G311*(1+(H311+IF(H311=21,5.2,IF(H311=10,1.4,IF(H311=4,0.5,0))))/100),2))))</f>
        <v/>
      </c>
      <c r="L311" s="27">
        <f>IF(G311="","",IF(NOT(ISNUMBER(G311)),"Revisa",ROUND(ROUND(G311*(1+N($K$8)/100)/$O$7,0)*$O$7,2)))</f>
        <v/>
      </c>
      <c r="M311" s="27">
        <f>IF(G311="","",IF(NOT(ISNUMBER(G311)),"Revisa",ROUND(ROUND(G311*(1+N($K$9)/100)/$O$7,0)*$O$7,2)))</f>
        <v/>
      </c>
      <c r="N311" s="27">
        <f>IF(G311="","",IF(NOT(ISNUMBER(G311)),"Revisa",ROUND(ROUND(G311*(1+N($K$10)/100)/$O$7,0)*$O$7,2)))</f>
        <v/>
      </c>
      <c r="O311">
        <f>IF(B311="","",MAX($O$12:O310)+1)</f>
        <v/>
      </c>
      <c r="P311">
        <f>IF(AND(B311="",G311&lt;&gt;""),1,0)</f>
        <v/>
      </c>
    </row>
    <row r="312">
      <c r="A312" s="21" t="n"/>
      <c r="B312" s="21" t="n"/>
      <c r="C312" s="21" t="n"/>
      <c r="D312" s="22" t="n"/>
      <c r="E312" s="21" t="n"/>
      <c r="F312" s="23" t="n"/>
      <c r="G312" s="24" t="n"/>
      <c r="H312" s="25" t="n"/>
      <c r="I312" s="26">
        <f>IF(OR(NOT(ISNUMBER(G312)),N(D312)&lt;=1),"",ROUND(G312/D312,3))</f>
        <v/>
      </c>
      <c r="J312" s="27">
        <f>IF(G312="","",IF(NOT(ISNUMBER(G312)),"Revisa",IF(H312="","Falta IVA",ROUND(G312*(1+H312/100),2))))</f>
        <v/>
      </c>
      <c r="K312" s="27">
        <f>IF(G312="","",IF(NOT(ISNUMBER(G312)),"Revisa",IF(H312="","Falta IVA",ROUND(G312*(1+(H312+IF(H312=21,5.2,IF(H312=10,1.4,IF(H312=4,0.5,0))))/100),2))))</f>
        <v/>
      </c>
      <c r="L312" s="27">
        <f>IF(G312="","",IF(NOT(ISNUMBER(G312)),"Revisa",ROUND(ROUND(G312*(1+N($K$8)/100)/$O$7,0)*$O$7,2)))</f>
        <v/>
      </c>
      <c r="M312" s="27">
        <f>IF(G312="","",IF(NOT(ISNUMBER(G312)),"Revisa",ROUND(ROUND(G312*(1+N($K$9)/100)/$O$7,0)*$O$7,2)))</f>
        <v/>
      </c>
      <c r="N312" s="27">
        <f>IF(G312="","",IF(NOT(ISNUMBER(G312)),"Revisa",ROUND(ROUND(G312*(1+N($K$10)/100)/$O$7,0)*$O$7,2)))</f>
        <v/>
      </c>
      <c r="O312">
        <f>IF(B312="","",MAX($O$12:O311)+1)</f>
        <v/>
      </c>
      <c r="P312">
        <f>IF(AND(B312="",G312&lt;&gt;""),1,0)</f>
        <v/>
      </c>
    </row>
    <row r="313">
      <c r="A313" s="21" t="n"/>
      <c r="B313" s="21" t="n"/>
      <c r="C313" s="21" t="n"/>
      <c r="D313" s="22" t="n"/>
      <c r="E313" s="21" t="n"/>
      <c r="F313" s="23" t="n"/>
      <c r="G313" s="24" t="n"/>
      <c r="H313" s="25" t="n"/>
      <c r="I313" s="26">
        <f>IF(OR(NOT(ISNUMBER(G313)),N(D313)&lt;=1),"",ROUND(G313/D313,3))</f>
        <v/>
      </c>
      <c r="J313" s="27">
        <f>IF(G313="","",IF(NOT(ISNUMBER(G313)),"Revisa",IF(H313="","Falta IVA",ROUND(G313*(1+H313/100),2))))</f>
        <v/>
      </c>
      <c r="K313" s="27">
        <f>IF(G313="","",IF(NOT(ISNUMBER(G313)),"Revisa",IF(H313="","Falta IVA",ROUND(G313*(1+(H313+IF(H313=21,5.2,IF(H313=10,1.4,IF(H313=4,0.5,0))))/100),2))))</f>
        <v/>
      </c>
      <c r="L313" s="27">
        <f>IF(G313="","",IF(NOT(ISNUMBER(G313)),"Revisa",ROUND(ROUND(G313*(1+N($K$8)/100)/$O$7,0)*$O$7,2)))</f>
        <v/>
      </c>
      <c r="M313" s="27">
        <f>IF(G313="","",IF(NOT(ISNUMBER(G313)),"Revisa",ROUND(ROUND(G313*(1+N($K$9)/100)/$O$7,0)*$O$7,2)))</f>
        <v/>
      </c>
      <c r="N313" s="27">
        <f>IF(G313="","",IF(NOT(ISNUMBER(G313)),"Revisa",ROUND(ROUND(G313*(1+N($K$10)/100)/$O$7,0)*$O$7,2)))</f>
        <v/>
      </c>
      <c r="O313">
        <f>IF(B313="","",MAX($O$12:O312)+1)</f>
        <v/>
      </c>
      <c r="P313">
        <f>IF(AND(B313="",G313&lt;&gt;""),1,0)</f>
        <v/>
      </c>
    </row>
    <row r="314">
      <c r="A314" s="21" t="n"/>
      <c r="B314" s="21" t="n"/>
      <c r="C314" s="21" t="n"/>
      <c r="D314" s="22" t="n"/>
      <c r="E314" s="21" t="n"/>
      <c r="F314" s="23" t="n"/>
      <c r="G314" s="24" t="n"/>
      <c r="H314" s="25" t="n"/>
      <c r="I314" s="26">
        <f>IF(OR(NOT(ISNUMBER(G314)),N(D314)&lt;=1),"",ROUND(G314/D314,3))</f>
        <v/>
      </c>
      <c r="J314" s="27">
        <f>IF(G314="","",IF(NOT(ISNUMBER(G314)),"Revisa",IF(H314="","Falta IVA",ROUND(G314*(1+H314/100),2))))</f>
        <v/>
      </c>
      <c r="K314" s="27">
        <f>IF(G314="","",IF(NOT(ISNUMBER(G314)),"Revisa",IF(H314="","Falta IVA",ROUND(G314*(1+(H314+IF(H314=21,5.2,IF(H314=10,1.4,IF(H314=4,0.5,0))))/100),2))))</f>
        <v/>
      </c>
      <c r="L314" s="27">
        <f>IF(G314="","",IF(NOT(ISNUMBER(G314)),"Revisa",ROUND(ROUND(G314*(1+N($K$8)/100)/$O$7,0)*$O$7,2)))</f>
        <v/>
      </c>
      <c r="M314" s="27">
        <f>IF(G314="","",IF(NOT(ISNUMBER(G314)),"Revisa",ROUND(ROUND(G314*(1+N($K$9)/100)/$O$7,0)*$O$7,2)))</f>
        <v/>
      </c>
      <c r="N314" s="27">
        <f>IF(G314="","",IF(NOT(ISNUMBER(G314)),"Revisa",ROUND(ROUND(G314*(1+N($K$10)/100)/$O$7,0)*$O$7,2)))</f>
        <v/>
      </c>
      <c r="O314">
        <f>IF(B314="","",MAX($O$12:O313)+1)</f>
        <v/>
      </c>
      <c r="P314">
        <f>IF(AND(B314="",G314&lt;&gt;""),1,0)</f>
        <v/>
      </c>
    </row>
    <row r="315">
      <c r="A315" s="21" t="n"/>
      <c r="B315" s="21" t="n"/>
      <c r="C315" s="21" t="n"/>
      <c r="D315" s="22" t="n"/>
      <c r="E315" s="21" t="n"/>
      <c r="F315" s="23" t="n"/>
      <c r="G315" s="24" t="n"/>
      <c r="H315" s="25" t="n"/>
      <c r="I315" s="26">
        <f>IF(OR(NOT(ISNUMBER(G315)),N(D315)&lt;=1),"",ROUND(G315/D315,3))</f>
        <v/>
      </c>
      <c r="J315" s="27">
        <f>IF(G315="","",IF(NOT(ISNUMBER(G315)),"Revisa",IF(H315="","Falta IVA",ROUND(G315*(1+H315/100),2))))</f>
        <v/>
      </c>
      <c r="K315" s="27">
        <f>IF(G315="","",IF(NOT(ISNUMBER(G315)),"Revisa",IF(H315="","Falta IVA",ROUND(G315*(1+(H315+IF(H315=21,5.2,IF(H315=10,1.4,IF(H315=4,0.5,0))))/100),2))))</f>
        <v/>
      </c>
      <c r="L315" s="27">
        <f>IF(G315="","",IF(NOT(ISNUMBER(G315)),"Revisa",ROUND(ROUND(G315*(1+N($K$8)/100)/$O$7,0)*$O$7,2)))</f>
        <v/>
      </c>
      <c r="M315" s="27">
        <f>IF(G315="","",IF(NOT(ISNUMBER(G315)),"Revisa",ROUND(ROUND(G315*(1+N($K$9)/100)/$O$7,0)*$O$7,2)))</f>
        <v/>
      </c>
      <c r="N315" s="27">
        <f>IF(G315="","",IF(NOT(ISNUMBER(G315)),"Revisa",ROUND(ROUND(G315*(1+N($K$10)/100)/$O$7,0)*$O$7,2)))</f>
        <v/>
      </c>
      <c r="O315">
        <f>IF(B315="","",MAX($O$12:O314)+1)</f>
        <v/>
      </c>
      <c r="P315">
        <f>IF(AND(B315="",G315&lt;&gt;""),1,0)</f>
        <v/>
      </c>
    </row>
    <row r="316">
      <c r="A316" s="21" t="n"/>
      <c r="B316" s="21" t="n"/>
      <c r="C316" s="21" t="n"/>
      <c r="D316" s="22" t="n"/>
      <c r="E316" s="21" t="n"/>
      <c r="F316" s="23" t="n"/>
      <c r="G316" s="24" t="n"/>
      <c r="H316" s="25" t="n"/>
      <c r="I316" s="26">
        <f>IF(OR(NOT(ISNUMBER(G316)),N(D316)&lt;=1),"",ROUND(G316/D316,3))</f>
        <v/>
      </c>
      <c r="J316" s="27">
        <f>IF(G316="","",IF(NOT(ISNUMBER(G316)),"Revisa",IF(H316="","Falta IVA",ROUND(G316*(1+H316/100),2))))</f>
        <v/>
      </c>
      <c r="K316" s="27">
        <f>IF(G316="","",IF(NOT(ISNUMBER(G316)),"Revisa",IF(H316="","Falta IVA",ROUND(G316*(1+(H316+IF(H316=21,5.2,IF(H316=10,1.4,IF(H316=4,0.5,0))))/100),2))))</f>
        <v/>
      </c>
      <c r="L316" s="27">
        <f>IF(G316="","",IF(NOT(ISNUMBER(G316)),"Revisa",ROUND(ROUND(G316*(1+N($K$8)/100)/$O$7,0)*$O$7,2)))</f>
        <v/>
      </c>
      <c r="M316" s="27">
        <f>IF(G316="","",IF(NOT(ISNUMBER(G316)),"Revisa",ROUND(ROUND(G316*(1+N($K$9)/100)/$O$7,0)*$O$7,2)))</f>
        <v/>
      </c>
      <c r="N316" s="27">
        <f>IF(G316="","",IF(NOT(ISNUMBER(G316)),"Revisa",ROUND(ROUND(G316*(1+N($K$10)/100)/$O$7,0)*$O$7,2)))</f>
        <v/>
      </c>
      <c r="O316">
        <f>IF(B316="","",MAX($O$12:O315)+1)</f>
        <v/>
      </c>
      <c r="P316">
        <f>IF(AND(B316="",G316&lt;&gt;""),1,0)</f>
        <v/>
      </c>
    </row>
    <row r="317">
      <c r="A317" s="21" t="n"/>
      <c r="B317" s="21" t="n"/>
      <c r="C317" s="21" t="n"/>
      <c r="D317" s="22" t="n"/>
      <c r="E317" s="21" t="n"/>
      <c r="F317" s="23" t="n"/>
      <c r="G317" s="24" t="n"/>
      <c r="H317" s="25" t="n"/>
      <c r="I317" s="26">
        <f>IF(OR(NOT(ISNUMBER(G317)),N(D317)&lt;=1),"",ROUND(G317/D317,3))</f>
        <v/>
      </c>
      <c r="J317" s="27">
        <f>IF(G317="","",IF(NOT(ISNUMBER(G317)),"Revisa",IF(H317="","Falta IVA",ROUND(G317*(1+H317/100),2))))</f>
        <v/>
      </c>
      <c r="K317" s="27">
        <f>IF(G317="","",IF(NOT(ISNUMBER(G317)),"Revisa",IF(H317="","Falta IVA",ROUND(G317*(1+(H317+IF(H317=21,5.2,IF(H317=10,1.4,IF(H317=4,0.5,0))))/100),2))))</f>
        <v/>
      </c>
      <c r="L317" s="27">
        <f>IF(G317="","",IF(NOT(ISNUMBER(G317)),"Revisa",ROUND(ROUND(G317*(1+N($K$8)/100)/$O$7,0)*$O$7,2)))</f>
        <v/>
      </c>
      <c r="M317" s="27">
        <f>IF(G317="","",IF(NOT(ISNUMBER(G317)),"Revisa",ROUND(ROUND(G317*(1+N($K$9)/100)/$O$7,0)*$O$7,2)))</f>
        <v/>
      </c>
      <c r="N317" s="27">
        <f>IF(G317="","",IF(NOT(ISNUMBER(G317)),"Revisa",ROUND(ROUND(G317*(1+N($K$10)/100)/$O$7,0)*$O$7,2)))</f>
        <v/>
      </c>
      <c r="O317">
        <f>IF(B317="","",MAX($O$12:O316)+1)</f>
        <v/>
      </c>
      <c r="P317">
        <f>IF(AND(B317="",G317&lt;&gt;""),1,0)</f>
        <v/>
      </c>
    </row>
    <row r="318">
      <c r="A318" s="21" t="n"/>
      <c r="B318" s="21" t="n"/>
      <c r="C318" s="21" t="n"/>
      <c r="D318" s="22" t="n"/>
      <c r="E318" s="21" t="n"/>
      <c r="F318" s="23" t="n"/>
      <c r="G318" s="24" t="n"/>
      <c r="H318" s="25" t="n"/>
      <c r="I318" s="26">
        <f>IF(OR(NOT(ISNUMBER(G318)),N(D318)&lt;=1),"",ROUND(G318/D318,3))</f>
        <v/>
      </c>
      <c r="J318" s="27">
        <f>IF(G318="","",IF(NOT(ISNUMBER(G318)),"Revisa",IF(H318="","Falta IVA",ROUND(G318*(1+H318/100),2))))</f>
        <v/>
      </c>
      <c r="K318" s="27">
        <f>IF(G318="","",IF(NOT(ISNUMBER(G318)),"Revisa",IF(H318="","Falta IVA",ROUND(G318*(1+(H318+IF(H318=21,5.2,IF(H318=10,1.4,IF(H318=4,0.5,0))))/100),2))))</f>
        <v/>
      </c>
      <c r="L318" s="27">
        <f>IF(G318="","",IF(NOT(ISNUMBER(G318)),"Revisa",ROUND(ROUND(G318*(1+N($K$8)/100)/$O$7,0)*$O$7,2)))</f>
        <v/>
      </c>
      <c r="M318" s="27">
        <f>IF(G318="","",IF(NOT(ISNUMBER(G318)),"Revisa",ROUND(ROUND(G318*(1+N($K$9)/100)/$O$7,0)*$O$7,2)))</f>
        <v/>
      </c>
      <c r="N318" s="27">
        <f>IF(G318="","",IF(NOT(ISNUMBER(G318)),"Revisa",ROUND(ROUND(G318*(1+N($K$10)/100)/$O$7,0)*$O$7,2)))</f>
        <v/>
      </c>
      <c r="O318">
        <f>IF(B318="","",MAX($O$12:O317)+1)</f>
        <v/>
      </c>
      <c r="P318">
        <f>IF(AND(B318="",G318&lt;&gt;""),1,0)</f>
        <v/>
      </c>
    </row>
    <row r="319">
      <c r="A319" s="21" t="n"/>
      <c r="B319" s="21" t="n"/>
      <c r="C319" s="21" t="n"/>
      <c r="D319" s="22" t="n"/>
      <c r="E319" s="21" t="n"/>
      <c r="F319" s="23" t="n"/>
      <c r="G319" s="24" t="n"/>
      <c r="H319" s="25" t="n"/>
      <c r="I319" s="26">
        <f>IF(OR(NOT(ISNUMBER(G319)),N(D319)&lt;=1),"",ROUND(G319/D319,3))</f>
        <v/>
      </c>
      <c r="J319" s="27">
        <f>IF(G319="","",IF(NOT(ISNUMBER(G319)),"Revisa",IF(H319="","Falta IVA",ROUND(G319*(1+H319/100),2))))</f>
        <v/>
      </c>
      <c r="K319" s="27">
        <f>IF(G319="","",IF(NOT(ISNUMBER(G319)),"Revisa",IF(H319="","Falta IVA",ROUND(G319*(1+(H319+IF(H319=21,5.2,IF(H319=10,1.4,IF(H319=4,0.5,0))))/100),2))))</f>
        <v/>
      </c>
      <c r="L319" s="27">
        <f>IF(G319="","",IF(NOT(ISNUMBER(G319)),"Revisa",ROUND(ROUND(G319*(1+N($K$8)/100)/$O$7,0)*$O$7,2)))</f>
        <v/>
      </c>
      <c r="M319" s="27">
        <f>IF(G319="","",IF(NOT(ISNUMBER(G319)),"Revisa",ROUND(ROUND(G319*(1+N($K$9)/100)/$O$7,0)*$O$7,2)))</f>
        <v/>
      </c>
      <c r="N319" s="27">
        <f>IF(G319="","",IF(NOT(ISNUMBER(G319)),"Revisa",ROUND(ROUND(G319*(1+N($K$10)/100)/$O$7,0)*$O$7,2)))</f>
        <v/>
      </c>
      <c r="O319">
        <f>IF(B319="","",MAX($O$12:O318)+1)</f>
        <v/>
      </c>
      <c r="P319">
        <f>IF(AND(B319="",G319&lt;&gt;""),1,0)</f>
        <v/>
      </c>
    </row>
    <row r="320">
      <c r="A320" s="21" t="n"/>
      <c r="B320" s="21" t="n"/>
      <c r="C320" s="21" t="n"/>
      <c r="D320" s="22" t="n"/>
      <c r="E320" s="21" t="n"/>
      <c r="F320" s="23" t="n"/>
      <c r="G320" s="24" t="n"/>
      <c r="H320" s="25" t="n"/>
      <c r="I320" s="26">
        <f>IF(OR(NOT(ISNUMBER(G320)),N(D320)&lt;=1),"",ROUND(G320/D320,3))</f>
        <v/>
      </c>
      <c r="J320" s="27">
        <f>IF(G320="","",IF(NOT(ISNUMBER(G320)),"Revisa",IF(H320="","Falta IVA",ROUND(G320*(1+H320/100),2))))</f>
        <v/>
      </c>
      <c r="K320" s="27">
        <f>IF(G320="","",IF(NOT(ISNUMBER(G320)),"Revisa",IF(H320="","Falta IVA",ROUND(G320*(1+(H320+IF(H320=21,5.2,IF(H320=10,1.4,IF(H320=4,0.5,0))))/100),2))))</f>
        <v/>
      </c>
      <c r="L320" s="27">
        <f>IF(G320="","",IF(NOT(ISNUMBER(G320)),"Revisa",ROUND(ROUND(G320*(1+N($K$8)/100)/$O$7,0)*$O$7,2)))</f>
        <v/>
      </c>
      <c r="M320" s="27">
        <f>IF(G320="","",IF(NOT(ISNUMBER(G320)),"Revisa",ROUND(ROUND(G320*(1+N($K$9)/100)/$O$7,0)*$O$7,2)))</f>
        <v/>
      </c>
      <c r="N320" s="27">
        <f>IF(G320="","",IF(NOT(ISNUMBER(G320)),"Revisa",ROUND(ROUND(G320*(1+N($K$10)/100)/$O$7,0)*$O$7,2)))</f>
        <v/>
      </c>
      <c r="O320">
        <f>IF(B320="","",MAX($O$12:O319)+1)</f>
        <v/>
      </c>
      <c r="P320">
        <f>IF(AND(B320="",G320&lt;&gt;""),1,0)</f>
        <v/>
      </c>
    </row>
    <row r="321">
      <c r="A321" s="21" t="n"/>
      <c r="B321" s="21" t="n"/>
      <c r="C321" s="21" t="n"/>
      <c r="D321" s="22" t="n"/>
      <c r="E321" s="21" t="n"/>
      <c r="F321" s="23" t="n"/>
      <c r="G321" s="24" t="n"/>
      <c r="H321" s="25" t="n"/>
      <c r="I321" s="26">
        <f>IF(OR(NOT(ISNUMBER(G321)),N(D321)&lt;=1),"",ROUND(G321/D321,3))</f>
        <v/>
      </c>
      <c r="J321" s="27">
        <f>IF(G321="","",IF(NOT(ISNUMBER(G321)),"Revisa",IF(H321="","Falta IVA",ROUND(G321*(1+H321/100),2))))</f>
        <v/>
      </c>
      <c r="K321" s="27">
        <f>IF(G321="","",IF(NOT(ISNUMBER(G321)),"Revisa",IF(H321="","Falta IVA",ROUND(G321*(1+(H321+IF(H321=21,5.2,IF(H321=10,1.4,IF(H321=4,0.5,0))))/100),2))))</f>
        <v/>
      </c>
      <c r="L321" s="27">
        <f>IF(G321="","",IF(NOT(ISNUMBER(G321)),"Revisa",ROUND(ROUND(G321*(1+N($K$8)/100)/$O$7,0)*$O$7,2)))</f>
        <v/>
      </c>
      <c r="M321" s="27">
        <f>IF(G321="","",IF(NOT(ISNUMBER(G321)),"Revisa",ROUND(ROUND(G321*(1+N($K$9)/100)/$O$7,0)*$O$7,2)))</f>
        <v/>
      </c>
      <c r="N321" s="27">
        <f>IF(G321="","",IF(NOT(ISNUMBER(G321)),"Revisa",ROUND(ROUND(G321*(1+N($K$10)/100)/$O$7,0)*$O$7,2)))</f>
        <v/>
      </c>
      <c r="O321">
        <f>IF(B321="","",MAX($O$12:O320)+1)</f>
        <v/>
      </c>
      <c r="P321">
        <f>IF(AND(B321="",G321&lt;&gt;""),1,0)</f>
        <v/>
      </c>
    </row>
    <row r="322">
      <c r="A322" s="21" t="n"/>
      <c r="B322" s="21" t="n"/>
      <c r="C322" s="21" t="n"/>
      <c r="D322" s="22" t="n"/>
      <c r="E322" s="21" t="n"/>
      <c r="F322" s="23" t="n"/>
      <c r="G322" s="24" t="n"/>
      <c r="H322" s="25" t="n"/>
      <c r="I322" s="26">
        <f>IF(OR(NOT(ISNUMBER(G322)),N(D322)&lt;=1),"",ROUND(G322/D322,3))</f>
        <v/>
      </c>
      <c r="J322" s="27">
        <f>IF(G322="","",IF(NOT(ISNUMBER(G322)),"Revisa",IF(H322="","Falta IVA",ROUND(G322*(1+H322/100),2))))</f>
        <v/>
      </c>
      <c r="K322" s="27">
        <f>IF(G322="","",IF(NOT(ISNUMBER(G322)),"Revisa",IF(H322="","Falta IVA",ROUND(G322*(1+(H322+IF(H322=21,5.2,IF(H322=10,1.4,IF(H322=4,0.5,0))))/100),2))))</f>
        <v/>
      </c>
      <c r="L322" s="27">
        <f>IF(G322="","",IF(NOT(ISNUMBER(G322)),"Revisa",ROUND(ROUND(G322*(1+N($K$8)/100)/$O$7,0)*$O$7,2)))</f>
        <v/>
      </c>
      <c r="M322" s="27">
        <f>IF(G322="","",IF(NOT(ISNUMBER(G322)),"Revisa",ROUND(ROUND(G322*(1+N($K$9)/100)/$O$7,0)*$O$7,2)))</f>
        <v/>
      </c>
      <c r="N322" s="27">
        <f>IF(G322="","",IF(NOT(ISNUMBER(G322)),"Revisa",ROUND(ROUND(G322*(1+N($K$10)/100)/$O$7,0)*$O$7,2)))</f>
        <v/>
      </c>
      <c r="O322">
        <f>IF(B322="","",MAX($O$12:O321)+1)</f>
        <v/>
      </c>
      <c r="P322">
        <f>IF(AND(B322="",G322&lt;&gt;""),1,0)</f>
        <v/>
      </c>
    </row>
    <row r="323">
      <c r="A323" s="21" t="n"/>
      <c r="B323" s="21" t="n"/>
      <c r="C323" s="21" t="n"/>
      <c r="D323" s="22" t="n"/>
      <c r="E323" s="21" t="n"/>
      <c r="F323" s="23" t="n"/>
      <c r="G323" s="24" t="n"/>
      <c r="H323" s="25" t="n"/>
      <c r="I323" s="26">
        <f>IF(OR(NOT(ISNUMBER(G323)),N(D323)&lt;=1),"",ROUND(G323/D323,3))</f>
        <v/>
      </c>
      <c r="J323" s="27">
        <f>IF(G323="","",IF(NOT(ISNUMBER(G323)),"Revisa",IF(H323="","Falta IVA",ROUND(G323*(1+H323/100),2))))</f>
        <v/>
      </c>
      <c r="K323" s="27">
        <f>IF(G323="","",IF(NOT(ISNUMBER(G323)),"Revisa",IF(H323="","Falta IVA",ROUND(G323*(1+(H323+IF(H323=21,5.2,IF(H323=10,1.4,IF(H323=4,0.5,0))))/100),2))))</f>
        <v/>
      </c>
      <c r="L323" s="27">
        <f>IF(G323="","",IF(NOT(ISNUMBER(G323)),"Revisa",ROUND(ROUND(G323*(1+N($K$8)/100)/$O$7,0)*$O$7,2)))</f>
        <v/>
      </c>
      <c r="M323" s="27">
        <f>IF(G323="","",IF(NOT(ISNUMBER(G323)),"Revisa",ROUND(ROUND(G323*(1+N($K$9)/100)/$O$7,0)*$O$7,2)))</f>
        <v/>
      </c>
      <c r="N323" s="27">
        <f>IF(G323="","",IF(NOT(ISNUMBER(G323)),"Revisa",ROUND(ROUND(G323*(1+N($K$10)/100)/$O$7,0)*$O$7,2)))</f>
        <v/>
      </c>
      <c r="O323">
        <f>IF(B323="","",MAX($O$12:O322)+1)</f>
        <v/>
      </c>
      <c r="P323">
        <f>IF(AND(B323="",G323&lt;&gt;""),1,0)</f>
        <v/>
      </c>
    </row>
    <row r="324">
      <c r="A324" s="21" t="n"/>
      <c r="B324" s="21" t="n"/>
      <c r="C324" s="21" t="n"/>
      <c r="D324" s="22" t="n"/>
      <c r="E324" s="21" t="n"/>
      <c r="F324" s="23" t="n"/>
      <c r="G324" s="24" t="n"/>
      <c r="H324" s="25" t="n"/>
      <c r="I324" s="26">
        <f>IF(OR(NOT(ISNUMBER(G324)),N(D324)&lt;=1),"",ROUND(G324/D324,3))</f>
        <v/>
      </c>
      <c r="J324" s="27">
        <f>IF(G324="","",IF(NOT(ISNUMBER(G324)),"Revisa",IF(H324="","Falta IVA",ROUND(G324*(1+H324/100),2))))</f>
        <v/>
      </c>
      <c r="K324" s="27">
        <f>IF(G324="","",IF(NOT(ISNUMBER(G324)),"Revisa",IF(H324="","Falta IVA",ROUND(G324*(1+(H324+IF(H324=21,5.2,IF(H324=10,1.4,IF(H324=4,0.5,0))))/100),2))))</f>
        <v/>
      </c>
      <c r="L324" s="27">
        <f>IF(G324="","",IF(NOT(ISNUMBER(G324)),"Revisa",ROUND(ROUND(G324*(1+N($K$8)/100)/$O$7,0)*$O$7,2)))</f>
        <v/>
      </c>
      <c r="M324" s="27">
        <f>IF(G324="","",IF(NOT(ISNUMBER(G324)),"Revisa",ROUND(ROUND(G324*(1+N($K$9)/100)/$O$7,0)*$O$7,2)))</f>
        <v/>
      </c>
      <c r="N324" s="27">
        <f>IF(G324="","",IF(NOT(ISNUMBER(G324)),"Revisa",ROUND(ROUND(G324*(1+N($K$10)/100)/$O$7,0)*$O$7,2)))</f>
        <v/>
      </c>
      <c r="O324">
        <f>IF(B324="","",MAX($O$12:O323)+1)</f>
        <v/>
      </c>
      <c r="P324">
        <f>IF(AND(B324="",G324&lt;&gt;""),1,0)</f>
        <v/>
      </c>
    </row>
    <row r="325">
      <c r="A325" s="21" t="n"/>
      <c r="B325" s="21" t="n"/>
      <c r="C325" s="21" t="n"/>
      <c r="D325" s="22" t="n"/>
      <c r="E325" s="21" t="n"/>
      <c r="F325" s="23" t="n"/>
      <c r="G325" s="24" t="n"/>
      <c r="H325" s="25" t="n"/>
      <c r="I325" s="26">
        <f>IF(OR(NOT(ISNUMBER(G325)),N(D325)&lt;=1),"",ROUND(G325/D325,3))</f>
        <v/>
      </c>
      <c r="J325" s="27">
        <f>IF(G325="","",IF(NOT(ISNUMBER(G325)),"Revisa",IF(H325="","Falta IVA",ROUND(G325*(1+H325/100),2))))</f>
        <v/>
      </c>
      <c r="K325" s="27">
        <f>IF(G325="","",IF(NOT(ISNUMBER(G325)),"Revisa",IF(H325="","Falta IVA",ROUND(G325*(1+(H325+IF(H325=21,5.2,IF(H325=10,1.4,IF(H325=4,0.5,0))))/100),2))))</f>
        <v/>
      </c>
      <c r="L325" s="27">
        <f>IF(G325="","",IF(NOT(ISNUMBER(G325)),"Revisa",ROUND(ROUND(G325*(1+N($K$8)/100)/$O$7,0)*$O$7,2)))</f>
        <v/>
      </c>
      <c r="M325" s="27">
        <f>IF(G325="","",IF(NOT(ISNUMBER(G325)),"Revisa",ROUND(ROUND(G325*(1+N($K$9)/100)/$O$7,0)*$O$7,2)))</f>
        <v/>
      </c>
      <c r="N325" s="27">
        <f>IF(G325="","",IF(NOT(ISNUMBER(G325)),"Revisa",ROUND(ROUND(G325*(1+N($K$10)/100)/$O$7,0)*$O$7,2)))</f>
        <v/>
      </c>
      <c r="O325">
        <f>IF(B325="","",MAX($O$12:O324)+1)</f>
        <v/>
      </c>
      <c r="P325">
        <f>IF(AND(B325="",G325&lt;&gt;""),1,0)</f>
        <v/>
      </c>
    </row>
    <row r="326">
      <c r="A326" s="21" t="n"/>
      <c r="B326" s="21" t="n"/>
      <c r="C326" s="21" t="n"/>
      <c r="D326" s="22" t="n"/>
      <c r="E326" s="21" t="n"/>
      <c r="F326" s="23" t="n"/>
      <c r="G326" s="24" t="n"/>
      <c r="H326" s="25" t="n"/>
      <c r="I326" s="26">
        <f>IF(OR(NOT(ISNUMBER(G326)),N(D326)&lt;=1),"",ROUND(G326/D326,3))</f>
        <v/>
      </c>
      <c r="J326" s="27">
        <f>IF(G326="","",IF(NOT(ISNUMBER(G326)),"Revisa",IF(H326="","Falta IVA",ROUND(G326*(1+H326/100),2))))</f>
        <v/>
      </c>
      <c r="K326" s="27">
        <f>IF(G326="","",IF(NOT(ISNUMBER(G326)),"Revisa",IF(H326="","Falta IVA",ROUND(G326*(1+(H326+IF(H326=21,5.2,IF(H326=10,1.4,IF(H326=4,0.5,0))))/100),2))))</f>
        <v/>
      </c>
      <c r="L326" s="27">
        <f>IF(G326="","",IF(NOT(ISNUMBER(G326)),"Revisa",ROUND(ROUND(G326*(1+N($K$8)/100)/$O$7,0)*$O$7,2)))</f>
        <v/>
      </c>
      <c r="M326" s="27">
        <f>IF(G326="","",IF(NOT(ISNUMBER(G326)),"Revisa",ROUND(ROUND(G326*(1+N($K$9)/100)/$O$7,0)*$O$7,2)))</f>
        <v/>
      </c>
      <c r="N326" s="27">
        <f>IF(G326="","",IF(NOT(ISNUMBER(G326)),"Revisa",ROUND(ROUND(G326*(1+N($K$10)/100)/$O$7,0)*$O$7,2)))</f>
        <v/>
      </c>
      <c r="O326">
        <f>IF(B326="","",MAX($O$12:O325)+1)</f>
        <v/>
      </c>
      <c r="P326">
        <f>IF(AND(B326="",G326&lt;&gt;""),1,0)</f>
        <v/>
      </c>
    </row>
    <row r="327">
      <c r="A327" s="21" t="n"/>
      <c r="B327" s="21" t="n"/>
      <c r="C327" s="21" t="n"/>
      <c r="D327" s="22" t="n"/>
      <c r="E327" s="21" t="n"/>
      <c r="F327" s="23" t="n"/>
      <c r="G327" s="24" t="n"/>
      <c r="H327" s="25" t="n"/>
      <c r="I327" s="26">
        <f>IF(OR(NOT(ISNUMBER(G327)),N(D327)&lt;=1),"",ROUND(G327/D327,3))</f>
        <v/>
      </c>
      <c r="J327" s="27">
        <f>IF(G327="","",IF(NOT(ISNUMBER(G327)),"Revisa",IF(H327="","Falta IVA",ROUND(G327*(1+H327/100),2))))</f>
        <v/>
      </c>
      <c r="K327" s="27">
        <f>IF(G327="","",IF(NOT(ISNUMBER(G327)),"Revisa",IF(H327="","Falta IVA",ROUND(G327*(1+(H327+IF(H327=21,5.2,IF(H327=10,1.4,IF(H327=4,0.5,0))))/100),2))))</f>
        <v/>
      </c>
      <c r="L327" s="27">
        <f>IF(G327="","",IF(NOT(ISNUMBER(G327)),"Revisa",ROUND(ROUND(G327*(1+N($K$8)/100)/$O$7,0)*$O$7,2)))</f>
        <v/>
      </c>
      <c r="M327" s="27">
        <f>IF(G327="","",IF(NOT(ISNUMBER(G327)),"Revisa",ROUND(ROUND(G327*(1+N($K$9)/100)/$O$7,0)*$O$7,2)))</f>
        <v/>
      </c>
      <c r="N327" s="27">
        <f>IF(G327="","",IF(NOT(ISNUMBER(G327)),"Revisa",ROUND(ROUND(G327*(1+N($K$10)/100)/$O$7,0)*$O$7,2)))</f>
        <v/>
      </c>
      <c r="O327">
        <f>IF(B327="","",MAX($O$12:O326)+1)</f>
        <v/>
      </c>
      <c r="P327">
        <f>IF(AND(B327="",G327&lt;&gt;""),1,0)</f>
        <v/>
      </c>
    </row>
    <row r="328">
      <c r="A328" s="21" t="n"/>
      <c r="B328" s="21" t="n"/>
      <c r="C328" s="21" t="n"/>
      <c r="D328" s="22" t="n"/>
      <c r="E328" s="21" t="n"/>
      <c r="F328" s="23" t="n"/>
      <c r="G328" s="24" t="n"/>
      <c r="H328" s="25" t="n"/>
      <c r="I328" s="26">
        <f>IF(OR(NOT(ISNUMBER(G328)),N(D328)&lt;=1),"",ROUND(G328/D328,3))</f>
        <v/>
      </c>
      <c r="J328" s="27">
        <f>IF(G328="","",IF(NOT(ISNUMBER(G328)),"Revisa",IF(H328="","Falta IVA",ROUND(G328*(1+H328/100),2))))</f>
        <v/>
      </c>
      <c r="K328" s="27">
        <f>IF(G328="","",IF(NOT(ISNUMBER(G328)),"Revisa",IF(H328="","Falta IVA",ROUND(G328*(1+(H328+IF(H328=21,5.2,IF(H328=10,1.4,IF(H328=4,0.5,0))))/100),2))))</f>
        <v/>
      </c>
      <c r="L328" s="27">
        <f>IF(G328="","",IF(NOT(ISNUMBER(G328)),"Revisa",ROUND(ROUND(G328*(1+N($K$8)/100)/$O$7,0)*$O$7,2)))</f>
        <v/>
      </c>
      <c r="M328" s="27">
        <f>IF(G328="","",IF(NOT(ISNUMBER(G328)),"Revisa",ROUND(ROUND(G328*(1+N($K$9)/100)/$O$7,0)*$O$7,2)))</f>
        <v/>
      </c>
      <c r="N328" s="27">
        <f>IF(G328="","",IF(NOT(ISNUMBER(G328)),"Revisa",ROUND(ROUND(G328*(1+N($K$10)/100)/$O$7,0)*$O$7,2)))</f>
        <v/>
      </c>
      <c r="O328">
        <f>IF(B328="","",MAX($O$12:O327)+1)</f>
        <v/>
      </c>
      <c r="P328">
        <f>IF(AND(B328="",G328&lt;&gt;""),1,0)</f>
        <v/>
      </c>
    </row>
    <row r="329">
      <c r="A329" s="21" t="n"/>
      <c r="B329" s="21" t="n"/>
      <c r="C329" s="21" t="n"/>
      <c r="D329" s="22" t="n"/>
      <c r="E329" s="21" t="n"/>
      <c r="F329" s="23" t="n"/>
      <c r="G329" s="24" t="n"/>
      <c r="H329" s="25" t="n"/>
      <c r="I329" s="26">
        <f>IF(OR(NOT(ISNUMBER(G329)),N(D329)&lt;=1),"",ROUND(G329/D329,3))</f>
        <v/>
      </c>
      <c r="J329" s="27">
        <f>IF(G329="","",IF(NOT(ISNUMBER(G329)),"Revisa",IF(H329="","Falta IVA",ROUND(G329*(1+H329/100),2))))</f>
        <v/>
      </c>
      <c r="K329" s="27">
        <f>IF(G329="","",IF(NOT(ISNUMBER(G329)),"Revisa",IF(H329="","Falta IVA",ROUND(G329*(1+(H329+IF(H329=21,5.2,IF(H329=10,1.4,IF(H329=4,0.5,0))))/100),2))))</f>
        <v/>
      </c>
      <c r="L329" s="27">
        <f>IF(G329="","",IF(NOT(ISNUMBER(G329)),"Revisa",ROUND(ROUND(G329*(1+N($K$8)/100)/$O$7,0)*$O$7,2)))</f>
        <v/>
      </c>
      <c r="M329" s="27">
        <f>IF(G329="","",IF(NOT(ISNUMBER(G329)),"Revisa",ROUND(ROUND(G329*(1+N($K$9)/100)/$O$7,0)*$O$7,2)))</f>
        <v/>
      </c>
      <c r="N329" s="27">
        <f>IF(G329="","",IF(NOT(ISNUMBER(G329)),"Revisa",ROUND(ROUND(G329*(1+N($K$10)/100)/$O$7,0)*$O$7,2)))</f>
        <v/>
      </c>
      <c r="O329">
        <f>IF(B329="","",MAX($O$12:O328)+1)</f>
        <v/>
      </c>
      <c r="P329">
        <f>IF(AND(B329="",G329&lt;&gt;""),1,0)</f>
        <v/>
      </c>
    </row>
    <row r="330">
      <c r="A330" s="21" t="n"/>
      <c r="B330" s="21" t="n"/>
      <c r="C330" s="21" t="n"/>
      <c r="D330" s="22" t="n"/>
      <c r="E330" s="21" t="n"/>
      <c r="F330" s="23" t="n"/>
      <c r="G330" s="24" t="n"/>
      <c r="H330" s="25" t="n"/>
      <c r="I330" s="26">
        <f>IF(OR(NOT(ISNUMBER(G330)),N(D330)&lt;=1),"",ROUND(G330/D330,3))</f>
        <v/>
      </c>
      <c r="J330" s="27">
        <f>IF(G330="","",IF(NOT(ISNUMBER(G330)),"Revisa",IF(H330="","Falta IVA",ROUND(G330*(1+H330/100),2))))</f>
        <v/>
      </c>
      <c r="K330" s="27">
        <f>IF(G330="","",IF(NOT(ISNUMBER(G330)),"Revisa",IF(H330="","Falta IVA",ROUND(G330*(1+(H330+IF(H330=21,5.2,IF(H330=10,1.4,IF(H330=4,0.5,0))))/100),2))))</f>
        <v/>
      </c>
      <c r="L330" s="27">
        <f>IF(G330="","",IF(NOT(ISNUMBER(G330)),"Revisa",ROUND(ROUND(G330*(1+N($K$8)/100)/$O$7,0)*$O$7,2)))</f>
        <v/>
      </c>
      <c r="M330" s="27">
        <f>IF(G330="","",IF(NOT(ISNUMBER(G330)),"Revisa",ROUND(ROUND(G330*(1+N($K$9)/100)/$O$7,0)*$O$7,2)))</f>
        <v/>
      </c>
      <c r="N330" s="27">
        <f>IF(G330="","",IF(NOT(ISNUMBER(G330)),"Revisa",ROUND(ROUND(G330*(1+N($K$10)/100)/$O$7,0)*$O$7,2)))</f>
        <v/>
      </c>
      <c r="O330">
        <f>IF(B330="","",MAX($O$12:O329)+1)</f>
        <v/>
      </c>
      <c r="P330">
        <f>IF(AND(B330="",G330&lt;&gt;""),1,0)</f>
        <v/>
      </c>
    </row>
    <row r="331">
      <c r="A331" s="21" t="n"/>
      <c r="B331" s="21" t="n"/>
      <c r="C331" s="21" t="n"/>
      <c r="D331" s="22" t="n"/>
      <c r="E331" s="21" t="n"/>
      <c r="F331" s="23" t="n"/>
      <c r="G331" s="24" t="n"/>
      <c r="H331" s="25" t="n"/>
      <c r="I331" s="26">
        <f>IF(OR(NOT(ISNUMBER(G331)),N(D331)&lt;=1),"",ROUND(G331/D331,3))</f>
        <v/>
      </c>
      <c r="J331" s="27">
        <f>IF(G331="","",IF(NOT(ISNUMBER(G331)),"Revisa",IF(H331="","Falta IVA",ROUND(G331*(1+H331/100),2))))</f>
        <v/>
      </c>
      <c r="K331" s="27">
        <f>IF(G331="","",IF(NOT(ISNUMBER(G331)),"Revisa",IF(H331="","Falta IVA",ROUND(G331*(1+(H331+IF(H331=21,5.2,IF(H331=10,1.4,IF(H331=4,0.5,0))))/100),2))))</f>
        <v/>
      </c>
      <c r="L331" s="27">
        <f>IF(G331="","",IF(NOT(ISNUMBER(G331)),"Revisa",ROUND(ROUND(G331*(1+N($K$8)/100)/$O$7,0)*$O$7,2)))</f>
        <v/>
      </c>
      <c r="M331" s="27">
        <f>IF(G331="","",IF(NOT(ISNUMBER(G331)),"Revisa",ROUND(ROUND(G331*(1+N($K$9)/100)/$O$7,0)*$O$7,2)))</f>
        <v/>
      </c>
      <c r="N331" s="27">
        <f>IF(G331="","",IF(NOT(ISNUMBER(G331)),"Revisa",ROUND(ROUND(G331*(1+N($K$10)/100)/$O$7,0)*$O$7,2)))</f>
        <v/>
      </c>
      <c r="O331">
        <f>IF(B331="","",MAX($O$12:O330)+1)</f>
        <v/>
      </c>
      <c r="P331">
        <f>IF(AND(B331="",G331&lt;&gt;""),1,0)</f>
        <v/>
      </c>
    </row>
    <row r="332">
      <c r="A332" s="21" t="n"/>
      <c r="B332" s="21" t="n"/>
      <c r="C332" s="21" t="n"/>
      <c r="D332" s="22" t="n"/>
      <c r="E332" s="21" t="n"/>
      <c r="F332" s="23" t="n"/>
      <c r="G332" s="24" t="n"/>
      <c r="H332" s="25" t="n"/>
      <c r="I332" s="26">
        <f>IF(OR(NOT(ISNUMBER(G332)),N(D332)&lt;=1),"",ROUND(G332/D332,3))</f>
        <v/>
      </c>
      <c r="J332" s="27">
        <f>IF(G332="","",IF(NOT(ISNUMBER(G332)),"Revisa",IF(H332="","Falta IVA",ROUND(G332*(1+H332/100),2))))</f>
        <v/>
      </c>
      <c r="K332" s="27">
        <f>IF(G332="","",IF(NOT(ISNUMBER(G332)),"Revisa",IF(H332="","Falta IVA",ROUND(G332*(1+(H332+IF(H332=21,5.2,IF(H332=10,1.4,IF(H332=4,0.5,0))))/100),2))))</f>
        <v/>
      </c>
      <c r="L332" s="27">
        <f>IF(G332="","",IF(NOT(ISNUMBER(G332)),"Revisa",ROUND(ROUND(G332*(1+N($K$8)/100)/$O$7,0)*$O$7,2)))</f>
        <v/>
      </c>
      <c r="M332" s="27">
        <f>IF(G332="","",IF(NOT(ISNUMBER(G332)),"Revisa",ROUND(ROUND(G332*(1+N($K$9)/100)/$O$7,0)*$O$7,2)))</f>
        <v/>
      </c>
      <c r="N332" s="27">
        <f>IF(G332="","",IF(NOT(ISNUMBER(G332)),"Revisa",ROUND(ROUND(G332*(1+N($K$10)/100)/$O$7,0)*$O$7,2)))</f>
        <v/>
      </c>
      <c r="O332">
        <f>IF(B332="","",MAX($O$12:O331)+1)</f>
        <v/>
      </c>
      <c r="P332">
        <f>IF(AND(B332="",G332&lt;&gt;""),1,0)</f>
        <v/>
      </c>
    </row>
    <row r="333">
      <c r="A333" s="21" t="n"/>
      <c r="B333" s="21" t="n"/>
      <c r="C333" s="21" t="n"/>
      <c r="D333" s="22" t="n"/>
      <c r="E333" s="21" t="n"/>
      <c r="F333" s="23" t="n"/>
      <c r="G333" s="24" t="n"/>
      <c r="H333" s="25" t="n"/>
      <c r="I333" s="26">
        <f>IF(OR(NOT(ISNUMBER(G333)),N(D333)&lt;=1),"",ROUND(G333/D333,3))</f>
        <v/>
      </c>
      <c r="J333" s="27">
        <f>IF(G333="","",IF(NOT(ISNUMBER(G333)),"Revisa",IF(H333="","Falta IVA",ROUND(G333*(1+H333/100),2))))</f>
        <v/>
      </c>
      <c r="K333" s="27">
        <f>IF(G333="","",IF(NOT(ISNUMBER(G333)),"Revisa",IF(H333="","Falta IVA",ROUND(G333*(1+(H333+IF(H333=21,5.2,IF(H333=10,1.4,IF(H333=4,0.5,0))))/100),2))))</f>
        <v/>
      </c>
      <c r="L333" s="27">
        <f>IF(G333="","",IF(NOT(ISNUMBER(G333)),"Revisa",ROUND(ROUND(G333*(1+N($K$8)/100)/$O$7,0)*$O$7,2)))</f>
        <v/>
      </c>
      <c r="M333" s="27">
        <f>IF(G333="","",IF(NOT(ISNUMBER(G333)),"Revisa",ROUND(ROUND(G333*(1+N($K$9)/100)/$O$7,0)*$O$7,2)))</f>
        <v/>
      </c>
      <c r="N333" s="27">
        <f>IF(G333="","",IF(NOT(ISNUMBER(G333)),"Revisa",ROUND(ROUND(G333*(1+N($K$10)/100)/$O$7,0)*$O$7,2)))</f>
        <v/>
      </c>
      <c r="O333">
        <f>IF(B333="","",MAX($O$12:O332)+1)</f>
        <v/>
      </c>
      <c r="P333">
        <f>IF(AND(B333="",G333&lt;&gt;""),1,0)</f>
        <v/>
      </c>
    </row>
    <row r="334">
      <c r="A334" s="21" t="n"/>
      <c r="B334" s="21" t="n"/>
      <c r="C334" s="21" t="n"/>
      <c r="D334" s="22" t="n"/>
      <c r="E334" s="21" t="n"/>
      <c r="F334" s="23" t="n"/>
      <c r="G334" s="24" t="n"/>
      <c r="H334" s="25" t="n"/>
      <c r="I334" s="26">
        <f>IF(OR(NOT(ISNUMBER(G334)),N(D334)&lt;=1),"",ROUND(G334/D334,3))</f>
        <v/>
      </c>
      <c r="J334" s="27">
        <f>IF(G334="","",IF(NOT(ISNUMBER(G334)),"Revisa",IF(H334="","Falta IVA",ROUND(G334*(1+H334/100),2))))</f>
        <v/>
      </c>
      <c r="K334" s="27">
        <f>IF(G334="","",IF(NOT(ISNUMBER(G334)),"Revisa",IF(H334="","Falta IVA",ROUND(G334*(1+(H334+IF(H334=21,5.2,IF(H334=10,1.4,IF(H334=4,0.5,0))))/100),2))))</f>
        <v/>
      </c>
      <c r="L334" s="27">
        <f>IF(G334="","",IF(NOT(ISNUMBER(G334)),"Revisa",ROUND(ROUND(G334*(1+N($K$8)/100)/$O$7,0)*$O$7,2)))</f>
        <v/>
      </c>
      <c r="M334" s="27">
        <f>IF(G334="","",IF(NOT(ISNUMBER(G334)),"Revisa",ROUND(ROUND(G334*(1+N($K$9)/100)/$O$7,0)*$O$7,2)))</f>
        <v/>
      </c>
      <c r="N334" s="27">
        <f>IF(G334="","",IF(NOT(ISNUMBER(G334)),"Revisa",ROUND(ROUND(G334*(1+N($K$10)/100)/$O$7,0)*$O$7,2)))</f>
        <v/>
      </c>
      <c r="O334">
        <f>IF(B334="","",MAX($O$12:O333)+1)</f>
        <v/>
      </c>
      <c r="P334">
        <f>IF(AND(B334="",G334&lt;&gt;""),1,0)</f>
        <v/>
      </c>
    </row>
    <row r="335">
      <c r="A335" s="21" t="n"/>
      <c r="B335" s="21" t="n"/>
      <c r="C335" s="21" t="n"/>
      <c r="D335" s="22" t="n"/>
      <c r="E335" s="21" t="n"/>
      <c r="F335" s="23" t="n"/>
      <c r="G335" s="24" t="n"/>
      <c r="H335" s="25" t="n"/>
      <c r="I335" s="26">
        <f>IF(OR(NOT(ISNUMBER(G335)),N(D335)&lt;=1),"",ROUND(G335/D335,3))</f>
        <v/>
      </c>
      <c r="J335" s="27">
        <f>IF(G335="","",IF(NOT(ISNUMBER(G335)),"Revisa",IF(H335="","Falta IVA",ROUND(G335*(1+H335/100),2))))</f>
        <v/>
      </c>
      <c r="K335" s="27">
        <f>IF(G335="","",IF(NOT(ISNUMBER(G335)),"Revisa",IF(H335="","Falta IVA",ROUND(G335*(1+(H335+IF(H335=21,5.2,IF(H335=10,1.4,IF(H335=4,0.5,0))))/100),2))))</f>
        <v/>
      </c>
      <c r="L335" s="27">
        <f>IF(G335="","",IF(NOT(ISNUMBER(G335)),"Revisa",ROUND(ROUND(G335*(1+N($K$8)/100)/$O$7,0)*$O$7,2)))</f>
        <v/>
      </c>
      <c r="M335" s="27">
        <f>IF(G335="","",IF(NOT(ISNUMBER(G335)),"Revisa",ROUND(ROUND(G335*(1+N($K$9)/100)/$O$7,0)*$O$7,2)))</f>
        <v/>
      </c>
      <c r="N335" s="27">
        <f>IF(G335="","",IF(NOT(ISNUMBER(G335)),"Revisa",ROUND(ROUND(G335*(1+N($K$10)/100)/$O$7,0)*$O$7,2)))</f>
        <v/>
      </c>
      <c r="O335">
        <f>IF(B335="","",MAX($O$12:O334)+1)</f>
        <v/>
      </c>
      <c r="P335">
        <f>IF(AND(B335="",G335&lt;&gt;""),1,0)</f>
        <v/>
      </c>
    </row>
    <row r="336">
      <c r="A336" s="21" t="n"/>
      <c r="B336" s="21" t="n"/>
      <c r="C336" s="21" t="n"/>
      <c r="D336" s="22" t="n"/>
      <c r="E336" s="21" t="n"/>
      <c r="F336" s="23" t="n"/>
      <c r="G336" s="24" t="n"/>
      <c r="H336" s="25" t="n"/>
      <c r="I336" s="26">
        <f>IF(OR(NOT(ISNUMBER(G336)),N(D336)&lt;=1),"",ROUND(G336/D336,3))</f>
        <v/>
      </c>
      <c r="J336" s="27">
        <f>IF(G336="","",IF(NOT(ISNUMBER(G336)),"Revisa",IF(H336="","Falta IVA",ROUND(G336*(1+H336/100),2))))</f>
        <v/>
      </c>
      <c r="K336" s="27">
        <f>IF(G336="","",IF(NOT(ISNUMBER(G336)),"Revisa",IF(H336="","Falta IVA",ROUND(G336*(1+(H336+IF(H336=21,5.2,IF(H336=10,1.4,IF(H336=4,0.5,0))))/100),2))))</f>
        <v/>
      </c>
      <c r="L336" s="27">
        <f>IF(G336="","",IF(NOT(ISNUMBER(G336)),"Revisa",ROUND(ROUND(G336*(1+N($K$8)/100)/$O$7,0)*$O$7,2)))</f>
        <v/>
      </c>
      <c r="M336" s="27">
        <f>IF(G336="","",IF(NOT(ISNUMBER(G336)),"Revisa",ROUND(ROUND(G336*(1+N($K$9)/100)/$O$7,0)*$O$7,2)))</f>
        <v/>
      </c>
      <c r="N336" s="27">
        <f>IF(G336="","",IF(NOT(ISNUMBER(G336)),"Revisa",ROUND(ROUND(G336*(1+N($K$10)/100)/$O$7,0)*$O$7,2)))</f>
        <v/>
      </c>
      <c r="O336">
        <f>IF(B336="","",MAX($O$12:O335)+1)</f>
        <v/>
      </c>
      <c r="P336">
        <f>IF(AND(B336="",G336&lt;&gt;""),1,0)</f>
        <v/>
      </c>
    </row>
    <row r="337">
      <c r="A337" s="21" t="n"/>
      <c r="B337" s="21" t="n"/>
      <c r="C337" s="21" t="n"/>
      <c r="D337" s="22" t="n"/>
      <c r="E337" s="21" t="n"/>
      <c r="F337" s="23" t="n"/>
      <c r="G337" s="24" t="n"/>
      <c r="H337" s="25" t="n"/>
      <c r="I337" s="26">
        <f>IF(OR(NOT(ISNUMBER(G337)),N(D337)&lt;=1),"",ROUND(G337/D337,3))</f>
        <v/>
      </c>
      <c r="J337" s="27">
        <f>IF(G337="","",IF(NOT(ISNUMBER(G337)),"Revisa",IF(H337="","Falta IVA",ROUND(G337*(1+H337/100),2))))</f>
        <v/>
      </c>
      <c r="K337" s="27">
        <f>IF(G337="","",IF(NOT(ISNUMBER(G337)),"Revisa",IF(H337="","Falta IVA",ROUND(G337*(1+(H337+IF(H337=21,5.2,IF(H337=10,1.4,IF(H337=4,0.5,0))))/100),2))))</f>
        <v/>
      </c>
      <c r="L337" s="27">
        <f>IF(G337="","",IF(NOT(ISNUMBER(G337)),"Revisa",ROUND(ROUND(G337*(1+N($K$8)/100)/$O$7,0)*$O$7,2)))</f>
        <v/>
      </c>
      <c r="M337" s="27">
        <f>IF(G337="","",IF(NOT(ISNUMBER(G337)),"Revisa",ROUND(ROUND(G337*(1+N($K$9)/100)/$O$7,0)*$O$7,2)))</f>
        <v/>
      </c>
      <c r="N337" s="27">
        <f>IF(G337="","",IF(NOT(ISNUMBER(G337)),"Revisa",ROUND(ROUND(G337*(1+N($K$10)/100)/$O$7,0)*$O$7,2)))</f>
        <v/>
      </c>
      <c r="O337">
        <f>IF(B337="","",MAX($O$12:O336)+1)</f>
        <v/>
      </c>
      <c r="P337">
        <f>IF(AND(B337="",G337&lt;&gt;""),1,0)</f>
        <v/>
      </c>
    </row>
    <row r="338">
      <c r="A338" s="21" t="n"/>
      <c r="B338" s="21" t="n"/>
      <c r="C338" s="21" t="n"/>
      <c r="D338" s="22" t="n"/>
      <c r="E338" s="21" t="n"/>
      <c r="F338" s="23" t="n"/>
      <c r="G338" s="24" t="n"/>
      <c r="H338" s="25" t="n"/>
      <c r="I338" s="26">
        <f>IF(OR(NOT(ISNUMBER(G338)),N(D338)&lt;=1),"",ROUND(G338/D338,3))</f>
        <v/>
      </c>
      <c r="J338" s="27">
        <f>IF(G338="","",IF(NOT(ISNUMBER(G338)),"Revisa",IF(H338="","Falta IVA",ROUND(G338*(1+H338/100),2))))</f>
        <v/>
      </c>
      <c r="K338" s="27">
        <f>IF(G338="","",IF(NOT(ISNUMBER(G338)),"Revisa",IF(H338="","Falta IVA",ROUND(G338*(1+(H338+IF(H338=21,5.2,IF(H338=10,1.4,IF(H338=4,0.5,0))))/100),2))))</f>
        <v/>
      </c>
      <c r="L338" s="27">
        <f>IF(G338="","",IF(NOT(ISNUMBER(G338)),"Revisa",ROUND(ROUND(G338*(1+N($K$8)/100)/$O$7,0)*$O$7,2)))</f>
        <v/>
      </c>
      <c r="M338" s="27">
        <f>IF(G338="","",IF(NOT(ISNUMBER(G338)),"Revisa",ROUND(ROUND(G338*(1+N($K$9)/100)/$O$7,0)*$O$7,2)))</f>
        <v/>
      </c>
      <c r="N338" s="27">
        <f>IF(G338="","",IF(NOT(ISNUMBER(G338)),"Revisa",ROUND(ROUND(G338*(1+N($K$10)/100)/$O$7,0)*$O$7,2)))</f>
        <v/>
      </c>
      <c r="O338">
        <f>IF(B338="","",MAX($O$12:O337)+1)</f>
        <v/>
      </c>
      <c r="P338">
        <f>IF(AND(B338="",G338&lt;&gt;""),1,0)</f>
        <v/>
      </c>
    </row>
    <row r="339">
      <c r="A339" s="21" t="n"/>
      <c r="B339" s="21" t="n"/>
      <c r="C339" s="21" t="n"/>
      <c r="D339" s="22" t="n"/>
      <c r="E339" s="21" t="n"/>
      <c r="F339" s="23" t="n"/>
      <c r="G339" s="24" t="n"/>
      <c r="H339" s="25" t="n"/>
      <c r="I339" s="26">
        <f>IF(OR(NOT(ISNUMBER(G339)),N(D339)&lt;=1),"",ROUND(G339/D339,3))</f>
        <v/>
      </c>
      <c r="J339" s="27">
        <f>IF(G339="","",IF(NOT(ISNUMBER(G339)),"Revisa",IF(H339="","Falta IVA",ROUND(G339*(1+H339/100),2))))</f>
        <v/>
      </c>
      <c r="K339" s="27">
        <f>IF(G339="","",IF(NOT(ISNUMBER(G339)),"Revisa",IF(H339="","Falta IVA",ROUND(G339*(1+(H339+IF(H339=21,5.2,IF(H339=10,1.4,IF(H339=4,0.5,0))))/100),2))))</f>
        <v/>
      </c>
      <c r="L339" s="27">
        <f>IF(G339="","",IF(NOT(ISNUMBER(G339)),"Revisa",ROUND(ROUND(G339*(1+N($K$8)/100)/$O$7,0)*$O$7,2)))</f>
        <v/>
      </c>
      <c r="M339" s="27">
        <f>IF(G339="","",IF(NOT(ISNUMBER(G339)),"Revisa",ROUND(ROUND(G339*(1+N($K$9)/100)/$O$7,0)*$O$7,2)))</f>
        <v/>
      </c>
      <c r="N339" s="27">
        <f>IF(G339="","",IF(NOT(ISNUMBER(G339)),"Revisa",ROUND(ROUND(G339*(1+N($K$10)/100)/$O$7,0)*$O$7,2)))</f>
        <v/>
      </c>
      <c r="O339">
        <f>IF(B339="","",MAX($O$12:O338)+1)</f>
        <v/>
      </c>
      <c r="P339">
        <f>IF(AND(B339="",G339&lt;&gt;""),1,0)</f>
        <v/>
      </c>
    </row>
    <row r="340">
      <c r="A340" s="21" t="n"/>
      <c r="B340" s="21" t="n"/>
      <c r="C340" s="21" t="n"/>
      <c r="D340" s="22" t="n"/>
      <c r="E340" s="21" t="n"/>
      <c r="F340" s="23" t="n"/>
      <c r="G340" s="24" t="n"/>
      <c r="H340" s="25" t="n"/>
      <c r="I340" s="26">
        <f>IF(OR(NOT(ISNUMBER(G340)),N(D340)&lt;=1),"",ROUND(G340/D340,3))</f>
        <v/>
      </c>
      <c r="J340" s="27">
        <f>IF(G340="","",IF(NOT(ISNUMBER(G340)),"Revisa",IF(H340="","Falta IVA",ROUND(G340*(1+H340/100),2))))</f>
        <v/>
      </c>
      <c r="K340" s="27">
        <f>IF(G340="","",IF(NOT(ISNUMBER(G340)),"Revisa",IF(H340="","Falta IVA",ROUND(G340*(1+(H340+IF(H340=21,5.2,IF(H340=10,1.4,IF(H340=4,0.5,0))))/100),2))))</f>
        <v/>
      </c>
      <c r="L340" s="27">
        <f>IF(G340="","",IF(NOT(ISNUMBER(G340)),"Revisa",ROUND(ROUND(G340*(1+N($K$8)/100)/$O$7,0)*$O$7,2)))</f>
        <v/>
      </c>
      <c r="M340" s="27">
        <f>IF(G340="","",IF(NOT(ISNUMBER(G340)),"Revisa",ROUND(ROUND(G340*(1+N($K$9)/100)/$O$7,0)*$O$7,2)))</f>
        <v/>
      </c>
      <c r="N340" s="27">
        <f>IF(G340="","",IF(NOT(ISNUMBER(G340)),"Revisa",ROUND(ROUND(G340*(1+N($K$10)/100)/$O$7,0)*$O$7,2)))</f>
        <v/>
      </c>
      <c r="O340">
        <f>IF(B340="","",MAX($O$12:O339)+1)</f>
        <v/>
      </c>
      <c r="P340">
        <f>IF(AND(B340="",G340&lt;&gt;""),1,0)</f>
        <v/>
      </c>
    </row>
    <row r="341">
      <c r="A341" s="21" t="n"/>
      <c r="B341" s="21" t="n"/>
      <c r="C341" s="21" t="n"/>
      <c r="D341" s="22" t="n"/>
      <c r="E341" s="21" t="n"/>
      <c r="F341" s="23" t="n"/>
      <c r="G341" s="24" t="n"/>
      <c r="H341" s="25" t="n"/>
      <c r="I341" s="26">
        <f>IF(OR(NOT(ISNUMBER(G341)),N(D341)&lt;=1),"",ROUND(G341/D341,3))</f>
        <v/>
      </c>
      <c r="J341" s="27">
        <f>IF(G341="","",IF(NOT(ISNUMBER(G341)),"Revisa",IF(H341="","Falta IVA",ROUND(G341*(1+H341/100),2))))</f>
        <v/>
      </c>
      <c r="K341" s="27">
        <f>IF(G341="","",IF(NOT(ISNUMBER(G341)),"Revisa",IF(H341="","Falta IVA",ROUND(G341*(1+(H341+IF(H341=21,5.2,IF(H341=10,1.4,IF(H341=4,0.5,0))))/100),2))))</f>
        <v/>
      </c>
      <c r="L341" s="27">
        <f>IF(G341="","",IF(NOT(ISNUMBER(G341)),"Revisa",ROUND(ROUND(G341*(1+N($K$8)/100)/$O$7,0)*$O$7,2)))</f>
        <v/>
      </c>
      <c r="M341" s="27">
        <f>IF(G341="","",IF(NOT(ISNUMBER(G341)),"Revisa",ROUND(ROUND(G341*(1+N($K$9)/100)/$O$7,0)*$O$7,2)))</f>
        <v/>
      </c>
      <c r="N341" s="27">
        <f>IF(G341="","",IF(NOT(ISNUMBER(G341)),"Revisa",ROUND(ROUND(G341*(1+N($K$10)/100)/$O$7,0)*$O$7,2)))</f>
        <v/>
      </c>
      <c r="O341">
        <f>IF(B341="","",MAX($O$12:O340)+1)</f>
        <v/>
      </c>
      <c r="P341">
        <f>IF(AND(B341="",G341&lt;&gt;""),1,0)</f>
        <v/>
      </c>
    </row>
    <row r="342">
      <c r="A342" s="21" t="n"/>
      <c r="B342" s="21" t="n"/>
      <c r="C342" s="21" t="n"/>
      <c r="D342" s="22" t="n"/>
      <c r="E342" s="21" t="n"/>
      <c r="F342" s="23" t="n"/>
      <c r="G342" s="24" t="n"/>
      <c r="H342" s="25" t="n"/>
      <c r="I342" s="26">
        <f>IF(OR(NOT(ISNUMBER(G342)),N(D342)&lt;=1),"",ROUND(G342/D342,3))</f>
        <v/>
      </c>
      <c r="J342" s="27">
        <f>IF(G342="","",IF(NOT(ISNUMBER(G342)),"Revisa",IF(H342="","Falta IVA",ROUND(G342*(1+H342/100),2))))</f>
        <v/>
      </c>
      <c r="K342" s="27">
        <f>IF(G342="","",IF(NOT(ISNUMBER(G342)),"Revisa",IF(H342="","Falta IVA",ROUND(G342*(1+(H342+IF(H342=21,5.2,IF(H342=10,1.4,IF(H342=4,0.5,0))))/100),2))))</f>
        <v/>
      </c>
      <c r="L342" s="27">
        <f>IF(G342="","",IF(NOT(ISNUMBER(G342)),"Revisa",ROUND(ROUND(G342*(1+N($K$8)/100)/$O$7,0)*$O$7,2)))</f>
        <v/>
      </c>
      <c r="M342" s="27">
        <f>IF(G342="","",IF(NOT(ISNUMBER(G342)),"Revisa",ROUND(ROUND(G342*(1+N($K$9)/100)/$O$7,0)*$O$7,2)))</f>
        <v/>
      </c>
      <c r="N342" s="27">
        <f>IF(G342="","",IF(NOT(ISNUMBER(G342)),"Revisa",ROUND(ROUND(G342*(1+N($K$10)/100)/$O$7,0)*$O$7,2)))</f>
        <v/>
      </c>
      <c r="O342">
        <f>IF(B342="","",MAX($O$12:O341)+1)</f>
        <v/>
      </c>
      <c r="P342">
        <f>IF(AND(B342="",G342&lt;&gt;""),1,0)</f>
        <v/>
      </c>
    </row>
    <row r="343">
      <c r="A343" s="21" t="n"/>
      <c r="B343" s="21" t="n"/>
      <c r="C343" s="21" t="n"/>
      <c r="D343" s="22" t="n"/>
      <c r="E343" s="21" t="n"/>
      <c r="F343" s="23" t="n"/>
      <c r="G343" s="24" t="n"/>
      <c r="H343" s="25" t="n"/>
      <c r="I343" s="26">
        <f>IF(OR(NOT(ISNUMBER(G343)),N(D343)&lt;=1),"",ROUND(G343/D343,3))</f>
        <v/>
      </c>
      <c r="J343" s="27">
        <f>IF(G343="","",IF(NOT(ISNUMBER(G343)),"Revisa",IF(H343="","Falta IVA",ROUND(G343*(1+H343/100),2))))</f>
        <v/>
      </c>
      <c r="K343" s="27">
        <f>IF(G343="","",IF(NOT(ISNUMBER(G343)),"Revisa",IF(H343="","Falta IVA",ROUND(G343*(1+(H343+IF(H343=21,5.2,IF(H343=10,1.4,IF(H343=4,0.5,0))))/100),2))))</f>
        <v/>
      </c>
      <c r="L343" s="27">
        <f>IF(G343="","",IF(NOT(ISNUMBER(G343)),"Revisa",ROUND(ROUND(G343*(1+N($K$8)/100)/$O$7,0)*$O$7,2)))</f>
        <v/>
      </c>
      <c r="M343" s="27">
        <f>IF(G343="","",IF(NOT(ISNUMBER(G343)),"Revisa",ROUND(ROUND(G343*(1+N($K$9)/100)/$O$7,0)*$O$7,2)))</f>
        <v/>
      </c>
      <c r="N343" s="27">
        <f>IF(G343="","",IF(NOT(ISNUMBER(G343)),"Revisa",ROUND(ROUND(G343*(1+N($K$10)/100)/$O$7,0)*$O$7,2)))</f>
        <v/>
      </c>
      <c r="O343">
        <f>IF(B343="","",MAX($O$12:O342)+1)</f>
        <v/>
      </c>
      <c r="P343">
        <f>IF(AND(B343="",G343&lt;&gt;""),1,0)</f>
        <v/>
      </c>
    </row>
    <row r="344">
      <c r="A344" s="21" t="n"/>
      <c r="B344" s="21" t="n"/>
      <c r="C344" s="21" t="n"/>
      <c r="D344" s="22" t="n"/>
      <c r="E344" s="21" t="n"/>
      <c r="F344" s="23" t="n"/>
      <c r="G344" s="24" t="n"/>
      <c r="H344" s="25" t="n"/>
      <c r="I344" s="26">
        <f>IF(OR(NOT(ISNUMBER(G344)),N(D344)&lt;=1),"",ROUND(G344/D344,3))</f>
        <v/>
      </c>
      <c r="J344" s="27">
        <f>IF(G344="","",IF(NOT(ISNUMBER(G344)),"Revisa",IF(H344="","Falta IVA",ROUND(G344*(1+H344/100),2))))</f>
        <v/>
      </c>
      <c r="K344" s="27">
        <f>IF(G344="","",IF(NOT(ISNUMBER(G344)),"Revisa",IF(H344="","Falta IVA",ROUND(G344*(1+(H344+IF(H344=21,5.2,IF(H344=10,1.4,IF(H344=4,0.5,0))))/100),2))))</f>
        <v/>
      </c>
      <c r="L344" s="27">
        <f>IF(G344="","",IF(NOT(ISNUMBER(G344)),"Revisa",ROUND(ROUND(G344*(1+N($K$8)/100)/$O$7,0)*$O$7,2)))</f>
        <v/>
      </c>
      <c r="M344" s="27">
        <f>IF(G344="","",IF(NOT(ISNUMBER(G344)),"Revisa",ROUND(ROUND(G344*(1+N($K$9)/100)/$O$7,0)*$O$7,2)))</f>
        <v/>
      </c>
      <c r="N344" s="27">
        <f>IF(G344="","",IF(NOT(ISNUMBER(G344)),"Revisa",ROUND(ROUND(G344*(1+N($K$10)/100)/$O$7,0)*$O$7,2)))</f>
        <v/>
      </c>
      <c r="O344">
        <f>IF(B344="","",MAX($O$12:O343)+1)</f>
        <v/>
      </c>
      <c r="P344">
        <f>IF(AND(B344="",G344&lt;&gt;""),1,0)</f>
        <v/>
      </c>
    </row>
    <row r="345">
      <c r="A345" s="21" t="n"/>
      <c r="B345" s="21" t="n"/>
      <c r="C345" s="21" t="n"/>
      <c r="D345" s="22" t="n"/>
      <c r="E345" s="21" t="n"/>
      <c r="F345" s="23" t="n"/>
      <c r="G345" s="24" t="n"/>
      <c r="H345" s="25" t="n"/>
      <c r="I345" s="26">
        <f>IF(OR(NOT(ISNUMBER(G345)),N(D345)&lt;=1),"",ROUND(G345/D345,3))</f>
        <v/>
      </c>
      <c r="J345" s="27">
        <f>IF(G345="","",IF(NOT(ISNUMBER(G345)),"Revisa",IF(H345="","Falta IVA",ROUND(G345*(1+H345/100),2))))</f>
        <v/>
      </c>
      <c r="K345" s="27">
        <f>IF(G345="","",IF(NOT(ISNUMBER(G345)),"Revisa",IF(H345="","Falta IVA",ROUND(G345*(1+(H345+IF(H345=21,5.2,IF(H345=10,1.4,IF(H345=4,0.5,0))))/100),2))))</f>
        <v/>
      </c>
      <c r="L345" s="27">
        <f>IF(G345="","",IF(NOT(ISNUMBER(G345)),"Revisa",ROUND(ROUND(G345*(1+N($K$8)/100)/$O$7,0)*$O$7,2)))</f>
        <v/>
      </c>
      <c r="M345" s="27">
        <f>IF(G345="","",IF(NOT(ISNUMBER(G345)),"Revisa",ROUND(ROUND(G345*(1+N($K$9)/100)/$O$7,0)*$O$7,2)))</f>
        <v/>
      </c>
      <c r="N345" s="27">
        <f>IF(G345="","",IF(NOT(ISNUMBER(G345)),"Revisa",ROUND(ROUND(G345*(1+N($K$10)/100)/$O$7,0)*$O$7,2)))</f>
        <v/>
      </c>
      <c r="O345">
        <f>IF(B345="","",MAX($O$12:O344)+1)</f>
        <v/>
      </c>
      <c r="P345">
        <f>IF(AND(B345="",G345&lt;&gt;""),1,0)</f>
        <v/>
      </c>
    </row>
    <row r="346">
      <c r="A346" s="21" t="n"/>
      <c r="B346" s="21" t="n"/>
      <c r="C346" s="21" t="n"/>
      <c r="D346" s="22" t="n"/>
      <c r="E346" s="21" t="n"/>
      <c r="F346" s="23" t="n"/>
      <c r="G346" s="24" t="n"/>
      <c r="H346" s="25" t="n"/>
      <c r="I346" s="26">
        <f>IF(OR(NOT(ISNUMBER(G346)),N(D346)&lt;=1),"",ROUND(G346/D346,3))</f>
        <v/>
      </c>
      <c r="J346" s="27">
        <f>IF(G346="","",IF(NOT(ISNUMBER(G346)),"Revisa",IF(H346="","Falta IVA",ROUND(G346*(1+H346/100),2))))</f>
        <v/>
      </c>
      <c r="K346" s="27">
        <f>IF(G346="","",IF(NOT(ISNUMBER(G346)),"Revisa",IF(H346="","Falta IVA",ROUND(G346*(1+(H346+IF(H346=21,5.2,IF(H346=10,1.4,IF(H346=4,0.5,0))))/100),2))))</f>
        <v/>
      </c>
      <c r="L346" s="27">
        <f>IF(G346="","",IF(NOT(ISNUMBER(G346)),"Revisa",ROUND(ROUND(G346*(1+N($K$8)/100)/$O$7,0)*$O$7,2)))</f>
        <v/>
      </c>
      <c r="M346" s="27">
        <f>IF(G346="","",IF(NOT(ISNUMBER(G346)),"Revisa",ROUND(ROUND(G346*(1+N($K$9)/100)/$O$7,0)*$O$7,2)))</f>
        <v/>
      </c>
      <c r="N346" s="27">
        <f>IF(G346="","",IF(NOT(ISNUMBER(G346)),"Revisa",ROUND(ROUND(G346*(1+N($K$10)/100)/$O$7,0)*$O$7,2)))</f>
        <v/>
      </c>
      <c r="O346">
        <f>IF(B346="","",MAX($O$12:O345)+1)</f>
        <v/>
      </c>
      <c r="P346">
        <f>IF(AND(B346="",G346&lt;&gt;""),1,0)</f>
        <v/>
      </c>
    </row>
    <row r="347">
      <c r="A347" s="21" t="n"/>
      <c r="B347" s="21" t="n"/>
      <c r="C347" s="21" t="n"/>
      <c r="D347" s="22" t="n"/>
      <c r="E347" s="21" t="n"/>
      <c r="F347" s="23" t="n"/>
      <c r="G347" s="24" t="n"/>
      <c r="H347" s="25" t="n"/>
      <c r="I347" s="26">
        <f>IF(OR(NOT(ISNUMBER(G347)),N(D347)&lt;=1),"",ROUND(G347/D347,3))</f>
        <v/>
      </c>
      <c r="J347" s="27">
        <f>IF(G347="","",IF(NOT(ISNUMBER(G347)),"Revisa",IF(H347="","Falta IVA",ROUND(G347*(1+H347/100),2))))</f>
        <v/>
      </c>
      <c r="K347" s="27">
        <f>IF(G347="","",IF(NOT(ISNUMBER(G347)),"Revisa",IF(H347="","Falta IVA",ROUND(G347*(1+(H347+IF(H347=21,5.2,IF(H347=10,1.4,IF(H347=4,0.5,0))))/100),2))))</f>
        <v/>
      </c>
      <c r="L347" s="27">
        <f>IF(G347="","",IF(NOT(ISNUMBER(G347)),"Revisa",ROUND(ROUND(G347*(1+N($K$8)/100)/$O$7,0)*$O$7,2)))</f>
        <v/>
      </c>
      <c r="M347" s="27">
        <f>IF(G347="","",IF(NOT(ISNUMBER(G347)),"Revisa",ROUND(ROUND(G347*(1+N($K$9)/100)/$O$7,0)*$O$7,2)))</f>
        <v/>
      </c>
      <c r="N347" s="27">
        <f>IF(G347="","",IF(NOT(ISNUMBER(G347)),"Revisa",ROUND(ROUND(G347*(1+N($K$10)/100)/$O$7,0)*$O$7,2)))</f>
        <v/>
      </c>
      <c r="O347">
        <f>IF(B347="","",MAX($O$12:O346)+1)</f>
        <v/>
      </c>
      <c r="P347">
        <f>IF(AND(B347="",G347&lt;&gt;""),1,0)</f>
        <v/>
      </c>
    </row>
    <row r="348">
      <c r="A348" s="21" t="n"/>
      <c r="B348" s="21" t="n"/>
      <c r="C348" s="21" t="n"/>
      <c r="D348" s="22" t="n"/>
      <c r="E348" s="21" t="n"/>
      <c r="F348" s="23" t="n"/>
      <c r="G348" s="24" t="n"/>
      <c r="H348" s="25" t="n"/>
      <c r="I348" s="26">
        <f>IF(OR(NOT(ISNUMBER(G348)),N(D348)&lt;=1),"",ROUND(G348/D348,3))</f>
        <v/>
      </c>
      <c r="J348" s="27">
        <f>IF(G348="","",IF(NOT(ISNUMBER(G348)),"Revisa",IF(H348="","Falta IVA",ROUND(G348*(1+H348/100),2))))</f>
        <v/>
      </c>
      <c r="K348" s="27">
        <f>IF(G348="","",IF(NOT(ISNUMBER(G348)),"Revisa",IF(H348="","Falta IVA",ROUND(G348*(1+(H348+IF(H348=21,5.2,IF(H348=10,1.4,IF(H348=4,0.5,0))))/100),2))))</f>
        <v/>
      </c>
      <c r="L348" s="27">
        <f>IF(G348="","",IF(NOT(ISNUMBER(G348)),"Revisa",ROUND(ROUND(G348*(1+N($K$8)/100)/$O$7,0)*$O$7,2)))</f>
        <v/>
      </c>
      <c r="M348" s="27">
        <f>IF(G348="","",IF(NOT(ISNUMBER(G348)),"Revisa",ROUND(ROUND(G348*(1+N($K$9)/100)/$O$7,0)*$O$7,2)))</f>
        <v/>
      </c>
      <c r="N348" s="27">
        <f>IF(G348="","",IF(NOT(ISNUMBER(G348)),"Revisa",ROUND(ROUND(G348*(1+N($K$10)/100)/$O$7,0)*$O$7,2)))</f>
        <v/>
      </c>
      <c r="O348">
        <f>IF(B348="","",MAX($O$12:O347)+1)</f>
        <v/>
      </c>
      <c r="P348">
        <f>IF(AND(B348="",G348&lt;&gt;""),1,0)</f>
        <v/>
      </c>
    </row>
    <row r="349">
      <c r="A349" s="21" t="n"/>
      <c r="B349" s="21" t="n"/>
      <c r="C349" s="21" t="n"/>
      <c r="D349" s="22" t="n"/>
      <c r="E349" s="21" t="n"/>
      <c r="F349" s="23" t="n"/>
      <c r="G349" s="24" t="n"/>
      <c r="H349" s="25" t="n"/>
      <c r="I349" s="26">
        <f>IF(OR(NOT(ISNUMBER(G349)),N(D349)&lt;=1),"",ROUND(G349/D349,3))</f>
        <v/>
      </c>
      <c r="J349" s="27">
        <f>IF(G349="","",IF(NOT(ISNUMBER(G349)),"Revisa",IF(H349="","Falta IVA",ROUND(G349*(1+H349/100),2))))</f>
        <v/>
      </c>
      <c r="K349" s="27">
        <f>IF(G349="","",IF(NOT(ISNUMBER(G349)),"Revisa",IF(H349="","Falta IVA",ROUND(G349*(1+(H349+IF(H349=21,5.2,IF(H349=10,1.4,IF(H349=4,0.5,0))))/100),2))))</f>
        <v/>
      </c>
      <c r="L349" s="27">
        <f>IF(G349="","",IF(NOT(ISNUMBER(G349)),"Revisa",ROUND(ROUND(G349*(1+N($K$8)/100)/$O$7,0)*$O$7,2)))</f>
        <v/>
      </c>
      <c r="M349" s="27">
        <f>IF(G349="","",IF(NOT(ISNUMBER(G349)),"Revisa",ROUND(ROUND(G349*(1+N($K$9)/100)/$O$7,0)*$O$7,2)))</f>
        <v/>
      </c>
      <c r="N349" s="27">
        <f>IF(G349="","",IF(NOT(ISNUMBER(G349)),"Revisa",ROUND(ROUND(G349*(1+N($K$10)/100)/$O$7,0)*$O$7,2)))</f>
        <v/>
      </c>
      <c r="O349">
        <f>IF(B349="","",MAX($O$12:O348)+1)</f>
        <v/>
      </c>
      <c r="P349">
        <f>IF(AND(B349="",G349&lt;&gt;""),1,0)</f>
        <v/>
      </c>
    </row>
    <row r="350">
      <c r="A350" s="21" t="n"/>
      <c r="B350" s="21" t="n"/>
      <c r="C350" s="21" t="n"/>
      <c r="D350" s="22" t="n"/>
      <c r="E350" s="21" t="n"/>
      <c r="F350" s="23" t="n"/>
      <c r="G350" s="24" t="n"/>
      <c r="H350" s="25" t="n"/>
      <c r="I350" s="26">
        <f>IF(OR(NOT(ISNUMBER(G350)),N(D350)&lt;=1),"",ROUND(G350/D350,3))</f>
        <v/>
      </c>
      <c r="J350" s="27">
        <f>IF(G350="","",IF(NOT(ISNUMBER(G350)),"Revisa",IF(H350="","Falta IVA",ROUND(G350*(1+H350/100),2))))</f>
        <v/>
      </c>
      <c r="K350" s="27">
        <f>IF(G350="","",IF(NOT(ISNUMBER(G350)),"Revisa",IF(H350="","Falta IVA",ROUND(G350*(1+(H350+IF(H350=21,5.2,IF(H350=10,1.4,IF(H350=4,0.5,0))))/100),2))))</f>
        <v/>
      </c>
      <c r="L350" s="27">
        <f>IF(G350="","",IF(NOT(ISNUMBER(G350)),"Revisa",ROUND(ROUND(G350*(1+N($K$8)/100)/$O$7,0)*$O$7,2)))</f>
        <v/>
      </c>
      <c r="M350" s="27">
        <f>IF(G350="","",IF(NOT(ISNUMBER(G350)),"Revisa",ROUND(ROUND(G350*(1+N($K$9)/100)/$O$7,0)*$O$7,2)))</f>
        <v/>
      </c>
      <c r="N350" s="27">
        <f>IF(G350="","",IF(NOT(ISNUMBER(G350)),"Revisa",ROUND(ROUND(G350*(1+N($K$10)/100)/$O$7,0)*$O$7,2)))</f>
        <v/>
      </c>
      <c r="O350">
        <f>IF(B350="","",MAX($O$12:O349)+1)</f>
        <v/>
      </c>
      <c r="P350">
        <f>IF(AND(B350="",G350&lt;&gt;""),1,0)</f>
        <v/>
      </c>
    </row>
    <row r="351">
      <c r="A351" s="21" t="n"/>
      <c r="B351" s="21" t="n"/>
      <c r="C351" s="21" t="n"/>
      <c r="D351" s="22" t="n"/>
      <c r="E351" s="21" t="n"/>
      <c r="F351" s="23" t="n"/>
      <c r="G351" s="24" t="n"/>
      <c r="H351" s="25" t="n"/>
      <c r="I351" s="26">
        <f>IF(OR(NOT(ISNUMBER(G351)),N(D351)&lt;=1),"",ROUND(G351/D351,3))</f>
        <v/>
      </c>
      <c r="J351" s="27">
        <f>IF(G351="","",IF(NOT(ISNUMBER(G351)),"Revisa",IF(H351="","Falta IVA",ROUND(G351*(1+H351/100),2))))</f>
        <v/>
      </c>
      <c r="K351" s="27">
        <f>IF(G351="","",IF(NOT(ISNUMBER(G351)),"Revisa",IF(H351="","Falta IVA",ROUND(G351*(1+(H351+IF(H351=21,5.2,IF(H351=10,1.4,IF(H351=4,0.5,0))))/100),2))))</f>
        <v/>
      </c>
      <c r="L351" s="27">
        <f>IF(G351="","",IF(NOT(ISNUMBER(G351)),"Revisa",ROUND(ROUND(G351*(1+N($K$8)/100)/$O$7,0)*$O$7,2)))</f>
        <v/>
      </c>
      <c r="M351" s="27">
        <f>IF(G351="","",IF(NOT(ISNUMBER(G351)),"Revisa",ROUND(ROUND(G351*(1+N($K$9)/100)/$O$7,0)*$O$7,2)))</f>
        <v/>
      </c>
      <c r="N351" s="27">
        <f>IF(G351="","",IF(NOT(ISNUMBER(G351)),"Revisa",ROUND(ROUND(G351*(1+N($K$10)/100)/$O$7,0)*$O$7,2)))</f>
        <v/>
      </c>
      <c r="O351">
        <f>IF(B351="","",MAX($O$12:O350)+1)</f>
        <v/>
      </c>
      <c r="P351">
        <f>IF(AND(B351="",G351&lt;&gt;""),1,0)</f>
        <v/>
      </c>
    </row>
    <row r="352">
      <c r="A352" s="21" t="n"/>
      <c r="B352" s="21" t="n"/>
      <c r="C352" s="21" t="n"/>
      <c r="D352" s="22" t="n"/>
      <c r="E352" s="21" t="n"/>
      <c r="F352" s="23" t="n"/>
      <c r="G352" s="24" t="n"/>
      <c r="H352" s="25" t="n"/>
      <c r="I352" s="26">
        <f>IF(OR(NOT(ISNUMBER(G352)),N(D352)&lt;=1),"",ROUND(G352/D352,3))</f>
        <v/>
      </c>
      <c r="J352" s="27">
        <f>IF(G352="","",IF(NOT(ISNUMBER(G352)),"Revisa",IF(H352="","Falta IVA",ROUND(G352*(1+H352/100),2))))</f>
        <v/>
      </c>
      <c r="K352" s="27">
        <f>IF(G352="","",IF(NOT(ISNUMBER(G352)),"Revisa",IF(H352="","Falta IVA",ROUND(G352*(1+(H352+IF(H352=21,5.2,IF(H352=10,1.4,IF(H352=4,0.5,0))))/100),2))))</f>
        <v/>
      </c>
      <c r="L352" s="27">
        <f>IF(G352="","",IF(NOT(ISNUMBER(G352)),"Revisa",ROUND(ROUND(G352*(1+N($K$8)/100)/$O$7,0)*$O$7,2)))</f>
        <v/>
      </c>
      <c r="M352" s="27">
        <f>IF(G352="","",IF(NOT(ISNUMBER(G352)),"Revisa",ROUND(ROUND(G352*(1+N($K$9)/100)/$O$7,0)*$O$7,2)))</f>
        <v/>
      </c>
      <c r="N352" s="27">
        <f>IF(G352="","",IF(NOT(ISNUMBER(G352)),"Revisa",ROUND(ROUND(G352*(1+N($K$10)/100)/$O$7,0)*$O$7,2)))</f>
        <v/>
      </c>
      <c r="O352">
        <f>IF(B352="","",MAX($O$12:O351)+1)</f>
        <v/>
      </c>
      <c r="P352">
        <f>IF(AND(B352="",G352&lt;&gt;""),1,0)</f>
        <v/>
      </c>
    </row>
    <row r="353">
      <c r="A353" s="21" t="n"/>
      <c r="B353" s="21" t="n"/>
      <c r="C353" s="21" t="n"/>
      <c r="D353" s="22" t="n"/>
      <c r="E353" s="21" t="n"/>
      <c r="F353" s="23" t="n"/>
      <c r="G353" s="24" t="n"/>
      <c r="H353" s="25" t="n"/>
      <c r="I353" s="26">
        <f>IF(OR(NOT(ISNUMBER(G353)),N(D353)&lt;=1),"",ROUND(G353/D353,3))</f>
        <v/>
      </c>
      <c r="J353" s="27">
        <f>IF(G353="","",IF(NOT(ISNUMBER(G353)),"Revisa",IF(H353="","Falta IVA",ROUND(G353*(1+H353/100),2))))</f>
        <v/>
      </c>
      <c r="K353" s="27">
        <f>IF(G353="","",IF(NOT(ISNUMBER(G353)),"Revisa",IF(H353="","Falta IVA",ROUND(G353*(1+(H353+IF(H353=21,5.2,IF(H353=10,1.4,IF(H353=4,0.5,0))))/100),2))))</f>
        <v/>
      </c>
      <c r="L353" s="27">
        <f>IF(G353="","",IF(NOT(ISNUMBER(G353)),"Revisa",ROUND(ROUND(G353*(1+N($K$8)/100)/$O$7,0)*$O$7,2)))</f>
        <v/>
      </c>
      <c r="M353" s="27">
        <f>IF(G353="","",IF(NOT(ISNUMBER(G353)),"Revisa",ROUND(ROUND(G353*(1+N($K$9)/100)/$O$7,0)*$O$7,2)))</f>
        <v/>
      </c>
      <c r="N353" s="27">
        <f>IF(G353="","",IF(NOT(ISNUMBER(G353)),"Revisa",ROUND(ROUND(G353*(1+N($K$10)/100)/$O$7,0)*$O$7,2)))</f>
        <v/>
      </c>
      <c r="O353">
        <f>IF(B353="","",MAX($O$12:O352)+1)</f>
        <v/>
      </c>
      <c r="P353">
        <f>IF(AND(B353="",G353&lt;&gt;""),1,0)</f>
        <v/>
      </c>
    </row>
    <row r="354">
      <c r="A354" s="21" t="n"/>
      <c r="B354" s="21" t="n"/>
      <c r="C354" s="21" t="n"/>
      <c r="D354" s="22" t="n"/>
      <c r="E354" s="21" t="n"/>
      <c r="F354" s="23" t="n"/>
      <c r="G354" s="24" t="n"/>
      <c r="H354" s="25" t="n"/>
      <c r="I354" s="26">
        <f>IF(OR(NOT(ISNUMBER(G354)),N(D354)&lt;=1),"",ROUND(G354/D354,3))</f>
        <v/>
      </c>
      <c r="J354" s="27">
        <f>IF(G354="","",IF(NOT(ISNUMBER(G354)),"Revisa",IF(H354="","Falta IVA",ROUND(G354*(1+H354/100),2))))</f>
        <v/>
      </c>
      <c r="K354" s="27">
        <f>IF(G354="","",IF(NOT(ISNUMBER(G354)),"Revisa",IF(H354="","Falta IVA",ROUND(G354*(1+(H354+IF(H354=21,5.2,IF(H354=10,1.4,IF(H354=4,0.5,0))))/100),2))))</f>
        <v/>
      </c>
      <c r="L354" s="27">
        <f>IF(G354="","",IF(NOT(ISNUMBER(G354)),"Revisa",ROUND(ROUND(G354*(1+N($K$8)/100)/$O$7,0)*$O$7,2)))</f>
        <v/>
      </c>
      <c r="M354" s="27">
        <f>IF(G354="","",IF(NOT(ISNUMBER(G354)),"Revisa",ROUND(ROUND(G354*(1+N($K$9)/100)/$O$7,0)*$O$7,2)))</f>
        <v/>
      </c>
      <c r="N354" s="27">
        <f>IF(G354="","",IF(NOT(ISNUMBER(G354)),"Revisa",ROUND(ROUND(G354*(1+N($K$10)/100)/$O$7,0)*$O$7,2)))</f>
        <v/>
      </c>
      <c r="O354">
        <f>IF(B354="","",MAX($O$12:O353)+1)</f>
        <v/>
      </c>
      <c r="P354">
        <f>IF(AND(B354="",G354&lt;&gt;""),1,0)</f>
        <v/>
      </c>
    </row>
    <row r="355">
      <c r="A355" s="21" t="n"/>
      <c r="B355" s="21" t="n"/>
      <c r="C355" s="21" t="n"/>
      <c r="D355" s="22" t="n"/>
      <c r="E355" s="21" t="n"/>
      <c r="F355" s="23" t="n"/>
      <c r="G355" s="24" t="n"/>
      <c r="H355" s="25" t="n"/>
      <c r="I355" s="26">
        <f>IF(OR(NOT(ISNUMBER(G355)),N(D355)&lt;=1),"",ROUND(G355/D355,3))</f>
        <v/>
      </c>
      <c r="J355" s="27">
        <f>IF(G355="","",IF(NOT(ISNUMBER(G355)),"Revisa",IF(H355="","Falta IVA",ROUND(G355*(1+H355/100),2))))</f>
        <v/>
      </c>
      <c r="K355" s="27">
        <f>IF(G355="","",IF(NOT(ISNUMBER(G355)),"Revisa",IF(H355="","Falta IVA",ROUND(G355*(1+(H355+IF(H355=21,5.2,IF(H355=10,1.4,IF(H355=4,0.5,0))))/100),2))))</f>
        <v/>
      </c>
      <c r="L355" s="27">
        <f>IF(G355="","",IF(NOT(ISNUMBER(G355)),"Revisa",ROUND(ROUND(G355*(1+N($K$8)/100)/$O$7,0)*$O$7,2)))</f>
        <v/>
      </c>
      <c r="M355" s="27">
        <f>IF(G355="","",IF(NOT(ISNUMBER(G355)),"Revisa",ROUND(ROUND(G355*(1+N($K$9)/100)/$O$7,0)*$O$7,2)))</f>
        <v/>
      </c>
      <c r="N355" s="27">
        <f>IF(G355="","",IF(NOT(ISNUMBER(G355)),"Revisa",ROUND(ROUND(G355*(1+N($K$10)/100)/$O$7,0)*$O$7,2)))</f>
        <v/>
      </c>
      <c r="O355">
        <f>IF(B355="","",MAX($O$12:O354)+1)</f>
        <v/>
      </c>
      <c r="P355">
        <f>IF(AND(B355="",G355&lt;&gt;""),1,0)</f>
        <v/>
      </c>
    </row>
    <row r="356">
      <c r="A356" s="21" t="n"/>
      <c r="B356" s="21" t="n"/>
      <c r="C356" s="21" t="n"/>
      <c r="D356" s="22" t="n"/>
      <c r="E356" s="21" t="n"/>
      <c r="F356" s="23" t="n"/>
      <c r="G356" s="24" t="n"/>
      <c r="H356" s="25" t="n"/>
      <c r="I356" s="26">
        <f>IF(OR(NOT(ISNUMBER(G356)),N(D356)&lt;=1),"",ROUND(G356/D356,3))</f>
        <v/>
      </c>
      <c r="J356" s="27">
        <f>IF(G356="","",IF(NOT(ISNUMBER(G356)),"Revisa",IF(H356="","Falta IVA",ROUND(G356*(1+H356/100),2))))</f>
        <v/>
      </c>
      <c r="K356" s="27">
        <f>IF(G356="","",IF(NOT(ISNUMBER(G356)),"Revisa",IF(H356="","Falta IVA",ROUND(G356*(1+(H356+IF(H356=21,5.2,IF(H356=10,1.4,IF(H356=4,0.5,0))))/100),2))))</f>
        <v/>
      </c>
      <c r="L356" s="27">
        <f>IF(G356="","",IF(NOT(ISNUMBER(G356)),"Revisa",ROUND(ROUND(G356*(1+N($K$8)/100)/$O$7,0)*$O$7,2)))</f>
        <v/>
      </c>
      <c r="M356" s="27">
        <f>IF(G356="","",IF(NOT(ISNUMBER(G356)),"Revisa",ROUND(ROUND(G356*(1+N($K$9)/100)/$O$7,0)*$O$7,2)))</f>
        <v/>
      </c>
      <c r="N356" s="27">
        <f>IF(G356="","",IF(NOT(ISNUMBER(G356)),"Revisa",ROUND(ROUND(G356*(1+N($K$10)/100)/$O$7,0)*$O$7,2)))</f>
        <v/>
      </c>
      <c r="O356">
        <f>IF(B356="","",MAX($O$12:O355)+1)</f>
        <v/>
      </c>
      <c r="P356">
        <f>IF(AND(B356="",G356&lt;&gt;""),1,0)</f>
        <v/>
      </c>
    </row>
    <row r="357">
      <c r="A357" s="21" t="n"/>
      <c r="B357" s="21" t="n"/>
      <c r="C357" s="21" t="n"/>
      <c r="D357" s="22" t="n"/>
      <c r="E357" s="21" t="n"/>
      <c r="F357" s="23" t="n"/>
      <c r="G357" s="24" t="n"/>
      <c r="H357" s="25" t="n"/>
      <c r="I357" s="26">
        <f>IF(OR(NOT(ISNUMBER(G357)),N(D357)&lt;=1),"",ROUND(G357/D357,3))</f>
        <v/>
      </c>
      <c r="J357" s="27">
        <f>IF(G357="","",IF(NOT(ISNUMBER(G357)),"Revisa",IF(H357="","Falta IVA",ROUND(G357*(1+H357/100),2))))</f>
        <v/>
      </c>
      <c r="K357" s="27">
        <f>IF(G357="","",IF(NOT(ISNUMBER(G357)),"Revisa",IF(H357="","Falta IVA",ROUND(G357*(1+(H357+IF(H357=21,5.2,IF(H357=10,1.4,IF(H357=4,0.5,0))))/100),2))))</f>
        <v/>
      </c>
      <c r="L357" s="27">
        <f>IF(G357="","",IF(NOT(ISNUMBER(G357)),"Revisa",ROUND(ROUND(G357*(1+N($K$8)/100)/$O$7,0)*$O$7,2)))</f>
        <v/>
      </c>
      <c r="M357" s="27">
        <f>IF(G357="","",IF(NOT(ISNUMBER(G357)),"Revisa",ROUND(ROUND(G357*(1+N($K$9)/100)/$O$7,0)*$O$7,2)))</f>
        <v/>
      </c>
      <c r="N357" s="27">
        <f>IF(G357="","",IF(NOT(ISNUMBER(G357)),"Revisa",ROUND(ROUND(G357*(1+N($K$10)/100)/$O$7,0)*$O$7,2)))</f>
        <v/>
      </c>
      <c r="O357">
        <f>IF(B357="","",MAX($O$12:O356)+1)</f>
        <v/>
      </c>
      <c r="P357">
        <f>IF(AND(B357="",G357&lt;&gt;""),1,0)</f>
        <v/>
      </c>
    </row>
    <row r="358">
      <c r="A358" s="21" t="n"/>
      <c r="B358" s="21" t="n"/>
      <c r="C358" s="21" t="n"/>
      <c r="D358" s="22" t="n"/>
      <c r="E358" s="21" t="n"/>
      <c r="F358" s="23" t="n"/>
      <c r="G358" s="24" t="n"/>
      <c r="H358" s="25" t="n"/>
      <c r="I358" s="26">
        <f>IF(OR(NOT(ISNUMBER(G358)),N(D358)&lt;=1),"",ROUND(G358/D358,3))</f>
        <v/>
      </c>
      <c r="J358" s="27">
        <f>IF(G358="","",IF(NOT(ISNUMBER(G358)),"Revisa",IF(H358="","Falta IVA",ROUND(G358*(1+H358/100),2))))</f>
        <v/>
      </c>
      <c r="K358" s="27">
        <f>IF(G358="","",IF(NOT(ISNUMBER(G358)),"Revisa",IF(H358="","Falta IVA",ROUND(G358*(1+(H358+IF(H358=21,5.2,IF(H358=10,1.4,IF(H358=4,0.5,0))))/100),2))))</f>
        <v/>
      </c>
      <c r="L358" s="27">
        <f>IF(G358="","",IF(NOT(ISNUMBER(G358)),"Revisa",ROUND(ROUND(G358*(1+N($K$8)/100)/$O$7,0)*$O$7,2)))</f>
        <v/>
      </c>
      <c r="M358" s="27">
        <f>IF(G358="","",IF(NOT(ISNUMBER(G358)),"Revisa",ROUND(ROUND(G358*(1+N($K$9)/100)/$O$7,0)*$O$7,2)))</f>
        <v/>
      </c>
      <c r="N358" s="27">
        <f>IF(G358="","",IF(NOT(ISNUMBER(G358)),"Revisa",ROUND(ROUND(G358*(1+N($K$10)/100)/$O$7,0)*$O$7,2)))</f>
        <v/>
      </c>
      <c r="O358">
        <f>IF(B358="","",MAX($O$12:O357)+1)</f>
        <v/>
      </c>
      <c r="P358">
        <f>IF(AND(B358="",G358&lt;&gt;""),1,0)</f>
        <v/>
      </c>
    </row>
    <row r="359">
      <c r="A359" s="21" t="n"/>
      <c r="B359" s="21" t="n"/>
      <c r="C359" s="21" t="n"/>
      <c r="D359" s="22" t="n"/>
      <c r="E359" s="21" t="n"/>
      <c r="F359" s="23" t="n"/>
      <c r="G359" s="24" t="n"/>
      <c r="H359" s="25" t="n"/>
      <c r="I359" s="26">
        <f>IF(OR(NOT(ISNUMBER(G359)),N(D359)&lt;=1),"",ROUND(G359/D359,3))</f>
        <v/>
      </c>
      <c r="J359" s="27">
        <f>IF(G359="","",IF(NOT(ISNUMBER(G359)),"Revisa",IF(H359="","Falta IVA",ROUND(G359*(1+H359/100),2))))</f>
        <v/>
      </c>
      <c r="K359" s="27">
        <f>IF(G359="","",IF(NOT(ISNUMBER(G359)),"Revisa",IF(H359="","Falta IVA",ROUND(G359*(1+(H359+IF(H359=21,5.2,IF(H359=10,1.4,IF(H359=4,0.5,0))))/100),2))))</f>
        <v/>
      </c>
      <c r="L359" s="27">
        <f>IF(G359="","",IF(NOT(ISNUMBER(G359)),"Revisa",ROUND(ROUND(G359*(1+N($K$8)/100)/$O$7,0)*$O$7,2)))</f>
        <v/>
      </c>
      <c r="M359" s="27">
        <f>IF(G359="","",IF(NOT(ISNUMBER(G359)),"Revisa",ROUND(ROUND(G359*(1+N($K$9)/100)/$O$7,0)*$O$7,2)))</f>
        <v/>
      </c>
      <c r="N359" s="27">
        <f>IF(G359="","",IF(NOT(ISNUMBER(G359)),"Revisa",ROUND(ROUND(G359*(1+N($K$10)/100)/$O$7,0)*$O$7,2)))</f>
        <v/>
      </c>
      <c r="O359">
        <f>IF(B359="","",MAX($O$12:O358)+1)</f>
        <v/>
      </c>
      <c r="P359">
        <f>IF(AND(B359="",G359&lt;&gt;""),1,0)</f>
        <v/>
      </c>
    </row>
    <row r="360">
      <c r="A360" s="21" t="n"/>
      <c r="B360" s="21" t="n"/>
      <c r="C360" s="21" t="n"/>
      <c r="D360" s="22" t="n"/>
      <c r="E360" s="21" t="n"/>
      <c r="F360" s="23" t="n"/>
      <c r="G360" s="24" t="n"/>
      <c r="H360" s="25" t="n"/>
      <c r="I360" s="26">
        <f>IF(OR(NOT(ISNUMBER(G360)),N(D360)&lt;=1),"",ROUND(G360/D360,3))</f>
        <v/>
      </c>
      <c r="J360" s="27">
        <f>IF(G360="","",IF(NOT(ISNUMBER(G360)),"Revisa",IF(H360="","Falta IVA",ROUND(G360*(1+H360/100),2))))</f>
        <v/>
      </c>
      <c r="K360" s="27">
        <f>IF(G360="","",IF(NOT(ISNUMBER(G360)),"Revisa",IF(H360="","Falta IVA",ROUND(G360*(1+(H360+IF(H360=21,5.2,IF(H360=10,1.4,IF(H360=4,0.5,0))))/100),2))))</f>
        <v/>
      </c>
      <c r="L360" s="27">
        <f>IF(G360="","",IF(NOT(ISNUMBER(G360)),"Revisa",ROUND(ROUND(G360*(1+N($K$8)/100)/$O$7,0)*$O$7,2)))</f>
        <v/>
      </c>
      <c r="M360" s="27">
        <f>IF(G360="","",IF(NOT(ISNUMBER(G360)),"Revisa",ROUND(ROUND(G360*(1+N($K$9)/100)/$O$7,0)*$O$7,2)))</f>
        <v/>
      </c>
      <c r="N360" s="27">
        <f>IF(G360="","",IF(NOT(ISNUMBER(G360)),"Revisa",ROUND(ROUND(G360*(1+N($K$10)/100)/$O$7,0)*$O$7,2)))</f>
        <v/>
      </c>
      <c r="O360">
        <f>IF(B360="","",MAX($O$12:O359)+1)</f>
        <v/>
      </c>
      <c r="P360">
        <f>IF(AND(B360="",G360&lt;&gt;""),1,0)</f>
        <v/>
      </c>
    </row>
    <row r="361">
      <c r="A361" s="21" t="n"/>
      <c r="B361" s="21" t="n"/>
      <c r="C361" s="21" t="n"/>
      <c r="D361" s="22" t="n"/>
      <c r="E361" s="21" t="n"/>
      <c r="F361" s="23" t="n"/>
      <c r="G361" s="24" t="n"/>
      <c r="H361" s="25" t="n"/>
      <c r="I361" s="26">
        <f>IF(OR(NOT(ISNUMBER(G361)),N(D361)&lt;=1),"",ROUND(G361/D361,3))</f>
        <v/>
      </c>
      <c r="J361" s="27">
        <f>IF(G361="","",IF(NOT(ISNUMBER(G361)),"Revisa",IF(H361="","Falta IVA",ROUND(G361*(1+H361/100),2))))</f>
        <v/>
      </c>
      <c r="K361" s="27">
        <f>IF(G361="","",IF(NOT(ISNUMBER(G361)),"Revisa",IF(H361="","Falta IVA",ROUND(G361*(1+(H361+IF(H361=21,5.2,IF(H361=10,1.4,IF(H361=4,0.5,0))))/100),2))))</f>
        <v/>
      </c>
      <c r="L361" s="27">
        <f>IF(G361="","",IF(NOT(ISNUMBER(G361)),"Revisa",ROUND(ROUND(G361*(1+N($K$8)/100)/$O$7,0)*$O$7,2)))</f>
        <v/>
      </c>
      <c r="M361" s="27">
        <f>IF(G361="","",IF(NOT(ISNUMBER(G361)),"Revisa",ROUND(ROUND(G361*(1+N($K$9)/100)/$O$7,0)*$O$7,2)))</f>
        <v/>
      </c>
      <c r="N361" s="27">
        <f>IF(G361="","",IF(NOT(ISNUMBER(G361)),"Revisa",ROUND(ROUND(G361*(1+N($K$10)/100)/$O$7,0)*$O$7,2)))</f>
        <v/>
      </c>
      <c r="O361">
        <f>IF(B361="","",MAX($O$12:O360)+1)</f>
        <v/>
      </c>
      <c r="P361">
        <f>IF(AND(B361="",G361&lt;&gt;""),1,0)</f>
        <v/>
      </c>
    </row>
    <row r="362">
      <c r="A362" s="21" t="n"/>
      <c r="B362" s="21" t="n"/>
      <c r="C362" s="21" t="n"/>
      <c r="D362" s="22" t="n"/>
      <c r="E362" s="21" t="n"/>
      <c r="F362" s="23" t="n"/>
      <c r="G362" s="24" t="n"/>
      <c r="H362" s="25" t="n"/>
      <c r="I362" s="26">
        <f>IF(OR(NOT(ISNUMBER(G362)),N(D362)&lt;=1),"",ROUND(G362/D362,3))</f>
        <v/>
      </c>
      <c r="J362" s="27">
        <f>IF(G362="","",IF(NOT(ISNUMBER(G362)),"Revisa",IF(H362="","Falta IVA",ROUND(G362*(1+H362/100),2))))</f>
        <v/>
      </c>
      <c r="K362" s="27">
        <f>IF(G362="","",IF(NOT(ISNUMBER(G362)),"Revisa",IF(H362="","Falta IVA",ROUND(G362*(1+(H362+IF(H362=21,5.2,IF(H362=10,1.4,IF(H362=4,0.5,0))))/100),2))))</f>
        <v/>
      </c>
      <c r="L362" s="27">
        <f>IF(G362="","",IF(NOT(ISNUMBER(G362)),"Revisa",ROUND(ROUND(G362*(1+N($K$8)/100)/$O$7,0)*$O$7,2)))</f>
        <v/>
      </c>
      <c r="M362" s="27">
        <f>IF(G362="","",IF(NOT(ISNUMBER(G362)),"Revisa",ROUND(ROUND(G362*(1+N($K$9)/100)/$O$7,0)*$O$7,2)))</f>
        <v/>
      </c>
      <c r="N362" s="27">
        <f>IF(G362="","",IF(NOT(ISNUMBER(G362)),"Revisa",ROUND(ROUND(G362*(1+N($K$10)/100)/$O$7,0)*$O$7,2)))</f>
        <v/>
      </c>
      <c r="O362">
        <f>IF(B362="","",MAX($O$12:O361)+1)</f>
        <v/>
      </c>
      <c r="P362">
        <f>IF(AND(B362="",G362&lt;&gt;""),1,0)</f>
        <v/>
      </c>
    </row>
    <row r="363">
      <c r="A363" s="21" t="n"/>
      <c r="B363" s="21" t="n"/>
      <c r="C363" s="21" t="n"/>
      <c r="D363" s="22" t="n"/>
      <c r="E363" s="21" t="n"/>
      <c r="F363" s="23" t="n"/>
      <c r="G363" s="24" t="n"/>
      <c r="H363" s="25" t="n"/>
      <c r="I363" s="26">
        <f>IF(OR(NOT(ISNUMBER(G363)),N(D363)&lt;=1),"",ROUND(G363/D363,3))</f>
        <v/>
      </c>
      <c r="J363" s="27">
        <f>IF(G363="","",IF(NOT(ISNUMBER(G363)),"Revisa",IF(H363="","Falta IVA",ROUND(G363*(1+H363/100),2))))</f>
        <v/>
      </c>
      <c r="K363" s="27">
        <f>IF(G363="","",IF(NOT(ISNUMBER(G363)),"Revisa",IF(H363="","Falta IVA",ROUND(G363*(1+(H363+IF(H363=21,5.2,IF(H363=10,1.4,IF(H363=4,0.5,0))))/100),2))))</f>
        <v/>
      </c>
      <c r="L363" s="27">
        <f>IF(G363="","",IF(NOT(ISNUMBER(G363)),"Revisa",ROUND(ROUND(G363*(1+N($K$8)/100)/$O$7,0)*$O$7,2)))</f>
        <v/>
      </c>
      <c r="M363" s="27">
        <f>IF(G363="","",IF(NOT(ISNUMBER(G363)),"Revisa",ROUND(ROUND(G363*(1+N($K$9)/100)/$O$7,0)*$O$7,2)))</f>
        <v/>
      </c>
      <c r="N363" s="27">
        <f>IF(G363="","",IF(NOT(ISNUMBER(G363)),"Revisa",ROUND(ROUND(G363*(1+N($K$10)/100)/$O$7,0)*$O$7,2)))</f>
        <v/>
      </c>
      <c r="O363">
        <f>IF(B363="","",MAX($O$12:O362)+1)</f>
        <v/>
      </c>
      <c r="P363">
        <f>IF(AND(B363="",G363&lt;&gt;""),1,0)</f>
        <v/>
      </c>
    </row>
    <row r="364">
      <c r="A364" s="21" t="n"/>
      <c r="B364" s="21" t="n"/>
      <c r="C364" s="21" t="n"/>
      <c r="D364" s="22" t="n"/>
      <c r="E364" s="21" t="n"/>
      <c r="F364" s="23" t="n"/>
      <c r="G364" s="24" t="n"/>
      <c r="H364" s="25" t="n"/>
      <c r="I364" s="26">
        <f>IF(OR(NOT(ISNUMBER(G364)),N(D364)&lt;=1),"",ROUND(G364/D364,3))</f>
        <v/>
      </c>
      <c r="J364" s="27">
        <f>IF(G364="","",IF(NOT(ISNUMBER(G364)),"Revisa",IF(H364="","Falta IVA",ROUND(G364*(1+H364/100),2))))</f>
        <v/>
      </c>
      <c r="K364" s="27">
        <f>IF(G364="","",IF(NOT(ISNUMBER(G364)),"Revisa",IF(H364="","Falta IVA",ROUND(G364*(1+(H364+IF(H364=21,5.2,IF(H364=10,1.4,IF(H364=4,0.5,0))))/100),2))))</f>
        <v/>
      </c>
      <c r="L364" s="27">
        <f>IF(G364="","",IF(NOT(ISNUMBER(G364)),"Revisa",ROUND(ROUND(G364*(1+N($K$8)/100)/$O$7,0)*$O$7,2)))</f>
        <v/>
      </c>
      <c r="M364" s="27">
        <f>IF(G364="","",IF(NOT(ISNUMBER(G364)),"Revisa",ROUND(ROUND(G364*(1+N($K$9)/100)/$O$7,0)*$O$7,2)))</f>
        <v/>
      </c>
      <c r="N364" s="27">
        <f>IF(G364="","",IF(NOT(ISNUMBER(G364)),"Revisa",ROUND(ROUND(G364*(1+N($K$10)/100)/$O$7,0)*$O$7,2)))</f>
        <v/>
      </c>
      <c r="O364">
        <f>IF(B364="","",MAX($O$12:O363)+1)</f>
        <v/>
      </c>
      <c r="P364">
        <f>IF(AND(B364="",G364&lt;&gt;""),1,0)</f>
        <v/>
      </c>
    </row>
    <row r="365">
      <c r="A365" s="21" t="n"/>
      <c r="B365" s="21" t="n"/>
      <c r="C365" s="21" t="n"/>
      <c r="D365" s="22" t="n"/>
      <c r="E365" s="21" t="n"/>
      <c r="F365" s="23" t="n"/>
      <c r="G365" s="24" t="n"/>
      <c r="H365" s="25" t="n"/>
      <c r="I365" s="26">
        <f>IF(OR(NOT(ISNUMBER(G365)),N(D365)&lt;=1),"",ROUND(G365/D365,3))</f>
        <v/>
      </c>
      <c r="J365" s="27">
        <f>IF(G365="","",IF(NOT(ISNUMBER(G365)),"Revisa",IF(H365="","Falta IVA",ROUND(G365*(1+H365/100),2))))</f>
        <v/>
      </c>
      <c r="K365" s="27">
        <f>IF(G365="","",IF(NOT(ISNUMBER(G365)),"Revisa",IF(H365="","Falta IVA",ROUND(G365*(1+(H365+IF(H365=21,5.2,IF(H365=10,1.4,IF(H365=4,0.5,0))))/100),2))))</f>
        <v/>
      </c>
      <c r="L365" s="27">
        <f>IF(G365="","",IF(NOT(ISNUMBER(G365)),"Revisa",ROUND(ROUND(G365*(1+N($K$8)/100)/$O$7,0)*$O$7,2)))</f>
        <v/>
      </c>
      <c r="M365" s="27">
        <f>IF(G365="","",IF(NOT(ISNUMBER(G365)),"Revisa",ROUND(ROUND(G365*(1+N($K$9)/100)/$O$7,0)*$O$7,2)))</f>
        <v/>
      </c>
      <c r="N365" s="27">
        <f>IF(G365="","",IF(NOT(ISNUMBER(G365)),"Revisa",ROUND(ROUND(G365*(1+N($K$10)/100)/$O$7,0)*$O$7,2)))</f>
        <v/>
      </c>
      <c r="O365">
        <f>IF(B365="","",MAX($O$12:O364)+1)</f>
        <v/>
      </c>
      <c r="P365">
        <f>IF(AND(B365="",G365&lt;&gt;""),1,0)</f>
        <v/>
      </c>
    </row>
    <row r="366">
      <c r="A366" s="21" t="n"/>
      <c r="B366" s="21" t="n"/>
      <c r="C366" s="21" t="n"/>
      <c r="D366" s="22" t="n"/>
      <c r="E366" s="21" t="n"/>
      <c r="F366" s="23" t="n"/>
      <c r="G366" s="24" t="n"/>
      <c r="H366" s="25" t="n"/>
      <c r="I366" s="26">
        <f>IF(OR(NOT(ISNUMBER(G366)),N(D366)&lt;=1),"",ROUND(G366/D366,3))</f>
        <v/>
      </c>
      <c r="J366" s="27">
        <f>IF(G366="","",IF(NOT(ISNUMBER(G366)),"Revisa",IF(H366="","Falta IVA",ROUND(G366*(1+H366/100),2))))</f>
        <v/>
      </c>
      <c r="K366" s="27">
        <f>IF(G366="","",IF(NOT(ISNUMBER(G366)),"Revisa",IF(H366="","Falta IVA",ROUND(G366*(1+(H366+IF(H366=21,5.2,IF(H366=10,1.4,IF(H366=4,0.5,0))))/100),2))))</f>
        <v/>
      </c>
      <c r="L366" s="27">
        <f>IF(G366="","",IF(NOT(ISNUMBER(G366)),"Revisa",ROUND(ROUND(G366*(1+N($K$8)/100)/$O$7,0)*$O$7,2)))</f>
        <v/>
      </c>
      <c r="M366" s="27">
        <f>IF(G366="","",IF(NOT(ISNUMBER(G366)),"Revisa",ROUND(ROUND(G366*(1+N($K$9)/100)/$O$7,0)*$O$7,2)))</f>
        <v/>
      </c>
      <c r="N366" s="27">
        <f>IF(G366="","",IF(NOT(ISNUMBER(G366)),"Revisa",ROUND(ROUND(G366*(1+N($K$10)/100)/$O$7,0)*$O$7,2)))</f>
        <v/>
      </c>
      <c r="O366">
        <f>IF(B366="","",MAX($O$12:O365)+1)</f>
        <v/>
      </c>
      <c r="P366">
        <f>IF(AND(B366="",G366&lt;&gt;""),1,0)</f>
        <v/>
      </c>
    </row>
    <row r="367">
      <c r="A367" s="21" t="n"/>
      <c r="B367" s="21" t="n"/>
      <c r="C367" s="21" t="n"/>
      <c r="D367" s="22" t="n"/>
      <c r="E367" s="21" t="n"/>
      <c r="F367" s="23" t="n"/>
      <c r="G367" s="24" t="n"/>
      <c r="H367" s="25" t="n"/>
      <c r="I367" s="26">
        <f>IF(OR(NOT(ISNUMBER(G367)),N(D367)&lt;=1),"",ROUND(G367/D367,3))</f>
        <v/>
      </c>
      <c r="J367" s="27">
        <f>IF(G367="","",IF(NOT(ISNUMBER(G367)),"Revisa",IF(H367="","Falta IVA",ROUND(G367*(1+H367/100),2))))</f>
        <v/>
      </c>
      <c r="K367" s="27">
        <f>IF(G367="","",IF(NOT(ISNUMBER(G367)),"Revisa",IF(H367="","Falta IVA",ROUND(G367*(1+(H367+IF(H367=21,5.2,IF(H367=10,1.4,IF(H367=4,0.5,0))))/100),2))))</f>
        <v/>
      </c>
      <c r="L367" s="27">
        <f>IF(G367="","",IF(NOT(ISNUMBER(G367)),"Revisa",ROUND(ROUND(G367*(1+N($K$8)/100)/$O$7,0)*$O$7,2)))</f>
        <v/>
      </c>
      <c r="M367" s="27">
        <f>IF(G367="","",IF(NOT(ISNUMBER(G367)),"Revisa",ROUND(ROUND(G367*(1+N($K$9)/100)/$O$7,0)*$O$7,2)))</f>
        <v/>
      </c>
      <c r="N367" s="27">
        <f>IF(G367="","",IF(NOT(ISNUMBER(G367)),"Revisa",ROUND(ROUND(G367*(1+N($K$10)/100)/$O$7,0)*$O$7,2)))</f>
        <v/>
      </c>
      <c r="O367">
        <f>IF(B367="","",MAX($O$12:O366)+1)</f>
        <v/>
      </c>
      <c r="P367">
        <f>IF(AND(B367="",G367&lt;&gt;""),1,0)</f>
        <v/>
      </c>
    </row>
    <row r="368">
      <c r="A368" s="21" t="n"/>
      <c r="B368" s="21" t="n"/>
      <c r="C368" s="21" t="n"/>
      <c r="D368" s="22" t="n"/>
      <c r="E368" s="21" t="n"/>
      <c r="F368" s="23" t="n"/>
      <c r="G368" s="24" t="n"/>
      <c r="H368" s="25" t="n"/>
      <c r="I368" s="26">
        <f>IF(OR(NOT(ISNUMBER(G368)),N(D368)&lt;=1),"",ROUND(G368/D368,3))</f>
        <v/>
      </c>
      <c r="J368" s="27">
        <f>IF(G368="","",IF(NOT(ISNUMBER(G368)),"Revisa",IF(H368="","Falta IVA",ROUND(G368*(1+H368/100),2))))</f>
        <v/>
      </c>
      <c r="K368" s="27">
        <f>IF(G368="","",IF(NOT(ISNUMBER(G368)),"Revisa",IF(H368="","Falta IVA",ROUND(G368*(1+(H368+IF(H368=21,5.2,IF(H368=10,1.4,IF(H368=4,0.5,0))))/100),2))))</f>
        <v/>
      </c>
      <c r="L368" s="27">
        <f>IF(G368="","",IF(NOT(ISNUMBER(G368)),"Revisa",ROUND(ROUND(G368*(1+N($K$8)/100)/$O$7,0)*$O$7,2)))</f>
        <v/>
      </c>
      <c r="M368" s="27">
        <f>IF(G368="","",IF(NOT(ISNUMBER(G368)),"Revisa",ROUND(ROUND(G368*(1+N($K$9)/100)/$O$7,0)*$O$7,2)))</f>
        <v/>
      </c>
      <c r="N368" s="27">
        <f>IF(G368="","",IF(NOT(ISNUMBER(G368)),"Revisa",ROUND(ROUND(G368*(1+N($K$10)/100)/$O$7,0)*$O$7,2)))</f>
        <v/>
      </c>
      <c r="O368">
        <f>IF(B368="","",MAX($O$12:O367)+1)</f>
        <v/>
      </c>
      <c r="P368">
        <f>IF(AND(B368="",G368&lt;&gt;""),1,0)</f>
        <v/>
      </c>
    </row>
    <row r="369">
      <c r="A369" s="21" t="n"/>
      <c r="B369" s="21" t="n"/>
      <c r="C369" s="21" t="n"/>
      <c r="D369" s="22" t="n"/>
      <c r="E369" s="21" t="n"/>
      <c r="F369" s="23" t="n"/>
      <c r="G369" s="24" t="n"/>
      <c r="H369" s="25" t="n"/>
      <c r="I369" s="26">
        <f>IF(OR(NOT(ISNUMBER(G369)),N(D369)&lt;=1),"",ROUND(G369/D369,3))</f>
        <v/>
      </c>
      <c r="J369" s="27">
        <f>IF(G369="","",IF(NOT(ISNUMBER(G369)),"Revisa",IF(H369="","Falta IVA",ROUND(G369*(1+H369/100),2))))</f>
        <v/>
      </c>
      <c r="K369" s="27">
        <f>IF(G369="","",IF(NOT(ISNUMBER(G369)),"Revisa",IF(H369="","Falta IVA",ROUND(G369*(1+(H369+IF(H369=21,5.2,IF(H369=10,1.4,IF(H369=4,0.5,0))))/100),2))))</f>
        <v/>
      </c>
      <c r="L369" s="27">
        <f>IF(G369="","",IF(NOT(ISNUMBER(G369)),"Revisa",ROUND(ROUND(G369*(1+N($K$8)/100)/$O$7,0)*$O$7,2)))</f>
        <v/>
      </c>
      <c r="M369" s="27">
        <f>IF(G369="","",IF(NOT(ISNUMBER(G369)),"Revisa",ROUND(ROUND(G369*(1+N($K$9)/100)/$O$7,0)*$O$7,2)))</f>
        <v/>
      </c>
      <c r="N369" s="27">
        <f>IF(G369="","",IF(NOT(ISNUMBER(G369)),"Revisa",ROUND(ROUND(G369*(1+N($K$10)/100)/$O$7,0)*$O$7,2)))</f>
        <v/>
      </c>
      <c r="O369">
        <f>IF(B369="","",MAX($O$12:O368)+1)</f>
        <v/>
      </c>
      <c r="P369">
        <f>IF(AND(B369="",G369&lt;&gt;""),1,0)</f>
        <v/>
      </c>
    </row>
    <row r="370">
      <c r="A370" s="21" t="n"/>
      <c r="B370" s="21" t="n"/>
      <c r="C370" s="21" t="n"/>
      <c r="D370" s="22" t="n"/>
      <c r="E370" s="21" t="n"/>
      <c r="F370" s="23" t="n"/>
      <c r="G370" s="24" t="n"/>
      <c r="H370" s="25" t="n"/>
      <c r="I370" s="26">
        <f>IF(OR(NOT(ISNUMBER(G370)),N(D370)&lt;=1),"",ROUND(G370/D370,3))</f>
        <v/>
      </c>
      <c r="J370" s="27">
        <f>IF(G370="","",IF(NOT(ISNUMBER(G370)),"Revisa",IF(H370="","Falta IVA",ROUND(G370*(1+H370/100),2))))</f>
        <v/>
      </c>
      <c r="K370" s="27">
        <f>IF(G370="","",IF(NOT(ISNUMBER(G370)),"Revisa",IF(H370="","Falta IVA",ROUND(G370*(1+(H370+IF(H370=21,5.2,IF(H370=10,1.4,IF(H370=4,0.5,0))))/100),2))))</f>
        <v/>
      </c>
      <c r="L370" s="27">
        <f>IF(G370="","",IF(NOT(ISNUMBER(G370)),"Revisa",ROUND(ROUND(G370*(1+N($K$8)/100)/$O$7,0)*$O$7,2)))</f>
        <v/>
      </c>
      <c r="M370" s="27">
        <f>IF(G370="","",IF(NOT(ISNUMBER(G370)),"Revisa",ROUND(ROUND(G370*(1+N($K$9)/100)/$O$7,0)*$O$7,2)))</f>
        <v/>
      </c>
      <c r="N370" s="27">
        <f>IF(G370="","",IF(NOT(ISNUMBER(G370)),"Revisa",ROUND(ROUND(G370*(1+N($K$10)/100)/$O$7,0)*$O$7,2)))</f>
        <v/>
      </c>
      <c r="O370">
        <f>IF(B370="","",MAX($O$12:O369)+1)</f>
        <v/>
      </c>
      <c r="P370">
        <f>IF(AND(B370="",G370&lt;&gt;""),1,0)</f>
        <v/>
      </c>
    </row>
    <row r="371">
      <c r="A371" s="21" t="n"/>
      <c r="B371" s="21" t="n"/>
      <c r="C371" s="21" t="n"/>
      <c r="D371" s="22" t="n"/>
      <c r="E371" s="21" t="n"/>
      <c r="F371" s="23" t="n"/>
      <c r="G371" s="24" t="n"/>
      <c r="H371" s="25" t="n"/>
      <c r="I371" s="26">
        <f>IF(OR(NOT(ISNUMBER(G371)),N(D371)&lt;=1),"",ROUND(G371/D371,3))</f>
        <v/>
      </c>
      <c r="J371" s="27">
        <f>IF(G371="","",IF(NOT(ISNUMBER(G371)),"Revisa",IF(H371="","Falta IVA",ROUND(G371*(1+H371/100),2))))</f>
        <v/>
      </c>
      <c r="K371" s="27">
        <f>IF(G371="","",IF(NOT(ISNUMBER(G371)),"Revisa",IF(H371="","Falta IVA",ROUND(G371*(1+(H371+IF(H371=21,5.2,IF(H371=10,1.4,IF(H371=4,0.5,0))))/100),2))))</f>
        <v/>
      </c>
      <c r="L371" s="27">
        <f>IF(G371="","",IF(NOT(ISNUMBER(G371)),"Revisa",ROUND(ROUND(G371*(1+N($K$8)/100)/$O$7,0)*$O$7,2)))</f>
        <v/>
      </c>
      <c r="M371" s="27">
        <f>IF(G371="","",IF(NOT(ISNUMBER(G371)),"Revisa",ROUND(ROUND(G371*(1+N($K$9)/100)/$O$7,0)*$O$7,2)))</f>
        <v/>
      </c>
      <c r="N371" s="27">
        <f>IF(G371="","",IF(NOT(ISNUMBER(G371)),"Revisa",ROUND(ROUND(G371*(1+N($K$10)/100)/$O$7,0)*$O$7,2)))</f>
        <v/>
      </c>
      <c r="O371">
        <f>IF(B371="","",MAX($O$12:O370)+1)</f>
        <v/>
      </c>
      <c r="P371">
        <f>IF(AND(B371="",G371&lt;&gt;""),1,0)</f>
        <v/>
      </c>
    </row>
    <row r="372">
      <c r="A372" s="21" t="n"/>
      <c r="B372" s="21" t="n"/>
      <c r="C372" s="21" t="n"/>
      <c r="D372" s="22" t="n"/>
      <c r="E372" s="21" t="n"/>
      <c r="F372" s="23" t="n"/>
      <c r="G372" s="24" t="n"/>
      <c r="H372" s="25" t="n"/>
      <c r="I372" s="26">
        <f>IF(OR(NOT(ISNUMBER(G372)),N(D372)&lt;=1),"",ROUND(G372/D372,3))</f>
        <v/>
      </c>
      <c r="J372" s="27">
        <f>IF(G372="","",IF(NOT(ISNUMBER(G372)),"Revisa",IF(H372="","Falta IVA",ROUND(G372*(1+H372/100),2))))</f>
        <v/>
      </c>
      <c r="K372" s="27">
        <f>IF(G372="","",IF(NOT(ISNUMBER(G372)),"Revisa",IF(H372="","Falta IVA",ROUND(G372*(1+(H372+IF(H372=21,5.2,IF(H372=10,1.4,IF(H372=4,0.5,0))))/100),2))))</f>
        <v/>
      </c>
      <c r="L372" s="27">
        <f>IF(G372="","",IF(NOT(ISNUMBER(G372)),"Revisa",ROUND(ROUND(G372*(1+N($K$8)/100)/$O$7,0)*$O$7,2)))</f>
        <v/>
      </c>
      <c r="M372" s="27">
        <f>IF(G372="","",IF(NOT(ISNUMBER(G372)),"Revisa",ROUND(ROUND(G372*(1+N($K$9)/100)/$O$7,0)*$O$7,2)))</f>
        <v/>
      </c>
      <c r="N372" s="27">
        <f>IF(G372="","",IF(NOT(ISNUMBER(G372)),"Revisa",ROUND(ROUND(G372*(1+N($K$10)/100)/$O$7,0)*$O$7,2)))</f>
        <v/>
      </c>
      <c r="O372">
        <f>IF(B372="","",MAX($O$12:O371)+1)</f>
        <v/>
      </c>
      <c r="P372">
        <f>IF(AND(B372="",G372&lt;&gt;""),1,0)</f>
        <v/>
      </c>
    </row>
    <row r="373">
      <c r="A373" s="21" t="n"/>
      <c r="B373" s="21" t="n"/>
      <c r="C373" s="21" t="n"/>
      <c r="D373" s="22" t="n"/>
      <c r="E373" s="21" t="n"/>
      <c r="F373" s="23" t="n"/>
      <c r="G373" s="24" t="n"/>
      <c r="H373" s="25" t="n"/>
      <c r="I373" s="26">
        <f>IF(OR(NOT(ISNUMBER(G373)),N(D373)&lt;=1),"",ROUND(G373/D373,3))</f>
        <v/>
      </c>
      <c r="J373" s="27">
        <f>IF(G373="","",IF(NOT(ISNUMBER(G373)),"Revisa",IF(H373="","Falta IVA",ROUND(G373*(1+H373/100),2))))</f>
        <v/>
      </c>
      <c r="K373" s="27">
        <f>IF(G373="","",IF(NOT(ISNUMBER(G373)),"Revisa",IF(H373="","Falta IVA",ROUND(G373*(1+(H373+IF(H373=21,5.2,IF(H373=10,1.4,IF(H373=4,0.5,0))))/100),2))))</f>
        <v/>
      </c>
      <c r="L373" s="27">
        <f>IF(G373="","",IF(NOT(ISNUMBER(G373)),"Revisa",ROUND(ROUND(G373*(1+N($K$8)/100)/$O$7,0)*$O$7,2)))</f>
        <v/>
      </c>
      <c r="M373" s="27">
        <f>IF(G373="","",IF(NOT(ISNUMBER(G373)),"Revisa",ROUND(ROUND(G373*(1+N($K$9)/100)/$O$7,0)*$O$7,2)))</f>
        <v/>
      </c>
      <c r="N373" s="27">
        <f>IF(G373="","",IF(NOT(ISNUMBER(G373)),"Revisa",ROUND(ROUND(G373*(1+N($K$10)/100)/$O$7,0)*$O$7,2)))</f>
        <v/>
      </c>
      <c r="O373">
        <f>IF(B373="","",MAX($O$12:O372)+1)</f>
        <v/>
      </c>
      <c r="P373">
        <f>IF(AND(B373="",G373&lt;&gt;""),1,0)</f>
        <v/>
      </c>
    </row>
    <row r="374">
      <c r="A374" s="21" t="n"/>
      <c r="B374" s="21" t="n"/>
      <c r="C374" s="21" t="n"/>
      <c r="D374" s="22" t="n"/>
      <c r="E374" s="21" t="n"/>
      <c r="F374" s="23" t="n"/>
      <c r="G374" s="24" t="n"/>
      <c r="H374" s="25" t="n"/>
      <c r="I374" s="26">
        <f>IF(OR(NOT(ISNUMBER(G374)),N(D374)&lt;=1),"",ROUND(G374/D374,3))</f>
        <v/>
      </c>
      <c r="J374" s="27">
        <f>IF(G374="","",IF(NOT(ISNUMBER(G374)),"Revisa",IF(H374="","Falta IVA",ROUND(G374*(1+H374/100),2))))</f>
        <v/>
      </c>
      <c r="K374" s="27">
        <f>IF(G374="","",IF(NOT(ISNUMBER(G374)),"Revisa",IF(H374="","Falta IVA",ROUND(G374*(1+(H374+IF(H374=21,5.2,IF(H374=10,1.4,IF(H374=4,0.5,0))))/100),2))))</f>
        <v/>
      </c>
      <c r="L374" s="27">
        <f>IF(G374="","",IF(NOT(ISNUMBER(G374)),"Revisa",ROUND(ROUND(G374*(1+N($K$8)/100)/$O$7,0)*$O$7,2)))</f>
        <v/>
      </c>
      <c r="M374" s="27">
        <f>IF(G374="","",IF(NOT(ISNUMBER(G374)),"Revisa",ROUND(ROUND(G374*(1+N($K$9)/100)/$O$7,0)*$O$7,2)))</f>
        <v/>
      </c>
      <c r="N374" s="27">
        <f>IF(G374="","",IF(NOT(ISNUMBER(G374)),"Revisa",ROUND(ROUND(G374*(1+N($K$10)/100)/$O$7,0)*$O$7,2)))</f>
        <v/>
      </c>
      <c r="O374">
        <f>IF(B374="","",MAX($O$12:O373)+1)</f>
        <v/>
      </c>
      <c r="P374">
        <f>IF(AND(B374="",G374&lt;&gt;""),1,0)</f>
        <v/>
      </c>
    </row>
    <row r="375">
      <c r="A375" s="21" t="n"/>
      <c r="B375" s="21" t="n"/>
      <c r="C375" s="21" t="n"/>
      <c r="D375" s="22" t="n"/>
      <c r="E375" s="21" t="n"/>
      <c r="F375" s="23" t="n"/>
      <c r="G375" s="24" t="n"/>
      <c r="H375" s="25" t="n"/>
      <c r="I375" s="26">
        <f>IF(OR(NOT(ISNUMBER(G375)),N(D375)&lt;=1),"",ROUND(G375/D375,3))</f>
        <v/>
      </c>
      <c r="J375" s="27">
        <f>IF(G375="","",IF(NOT(ISNUMBER(G375)),"Revisa",IF(H375="","Falta IVA",ROUND(G375*(1+H375/100),2))))</f>
        <v/>
      </c>
      <c r="K375" s="27">
        <f>IF(G375="","",IF(NOT(ISNUMBER(G375)),"Revisa",IF(H375="","Falta IVA",ROUND(G375*(1+(H375+IF(H375=21,5.2,IF(H375=10,1.4,IF(H375=4,0.5,0))))/100),2))))</f>
        <v/>
      </c>
      <c r="L375" s="27">
        <f>IF(G375="","",IF(NOT(ISNUMBER(G375)),"Revisa",ROUND(ROUND(G375*(1+N($K$8)/100)/$O$7,0)*$O$7,2)))</f>
        <v/>
      </c>
      <c r="M375" s="27">
        <f>IF(G375="","",IF(NOT(ISNUMBER(G375)),"Revisa",ROUND(ROUND(G375*(1+N($K$9)/100)/$O$7,0)*$O$7,2)))</f>
        <v/>
      </c>
      <c r="N375" s="27">
        <f>IF(G375="","",IF(NOT(ISNUMBER(G375)),"Revisa",ROUND(ROUND(G375*(1+N($K$10)/100)/$O$7,0)*$O$7,2)))</f>
        <v/>
      </c>
      <c r="O375">
        <f>IF(B375="","",MAX($O$12:O374)+1)</f>
        <v/>
      </c>
      <c r="P375">
        <f>IF(AND(B375="",G375&lt;&gt;""),1,0)</f>
        <v/>
      </c>
    </row>
    <row r="376">
      <c r="A376" s="21" t="n"/>
      <c r="B376" s="21" t="n"/>
      <c r="C376" s="21" t="n"/>
      <c r="D376" s="22" t="n"/>
      <c r="E376" s="21" t="n"/>
      <c r="F376" s="23" t="n"/>
      <c r="G376" s="24" t="n"/>
      <c r="H376" s="25" t="n"/>
      <c r="I376" s="26">
        <f>IF(OR(NOT(ISNUMBER(G376)),N(D376)&lt;=1),"",ROUND(G376/D376,3))</f>
        <v/>
      </c>
      <c r="J376" s="27">
        <f>IF(G376="","",IF(NOT(ISNUMBER(G376)),"Revisa",IF(H376="","Falta IVA",ROUND(G376*(1+H376/100),2))))</f>
        <v/>
      </c>
      <c r="K376" s="27">
        <f>IF(G376="","",IF(NOT(ISNUMBER(G376)),"Revisa",IF(H376="","Falta IVA",ROUND(G376*(1+(H376+IF(H376=21,5.2,IF(H376=10,1.4,IF(H376=4,0.5,0))))/100),2))))</f>
        <v/>
      </c>
      <c r="L376" s="27">
        <f>IF(G376="","",IF(NOT(ISNUMBER(G376)),"Revisa",ROUND(ROUND(G376*(1+N($K$8)/100)/$O$7,0)*$O$7,2)))</f>
        <v/>
      </c>
      <c r="M376" s="27">
        <f>IF(G376="","",IF(NOT(ISNUMBER(G376)),"Revisa",ROUND(ROUND(G376*(1+N($K$9)/100)/$O$7,0)*$O$7,2)))</f>
        <v/>
      </c>
      <c r="N376" s="27">
        <f>IF(G376="","",IF(NOT(ISNUMBER(G376)),"Revisa",ROUND(ROUND(G376*(1+N($K$10)/100)/$O$7,0)*$O$7,2)))</f>
        <v/>
      </c>
      <c r="O376">
        <f>IF(B376="","",MAX($O$12:O375)+1)</f>
        <v/>
      </c>
      <c r="P376">
        <f>IF(AND(B376="",G376&lt;&gt;""),1,0)</f>
        <v/>
      </c>
    </row>
    <row r="377">
      <c r="A377" s="21" t="n"/>
      <c r="B377" s="21" t="n"/>
      <c r="C377" s="21" t="n"/>
      <c r="D377" s="22" t="n"/>
      <c r="E377" s="21" t="n"/>
      <c r="F377" s="23" t="n"/>
      <c r="G377" s="24" t="n"/>
      <c r="H377" s="25" t="n"/>
      <c r="I377" s="26">
        <f>IF(OR(NOT(ISNUMBER(G377)),N(D377)&lt;=1),"",ROUND(G377/D377,3))</f>
        <v/>
      </c>
      <c r="J377" s="27">
        <f>IF(G377="","",IF(NOT(ISNUMBER(G377)),"Revisa",IF(H377="","Falta IVA",ROUND(G377*(1+H377/100),2))))</f>
        <v/>
      </c>
      <c r="K377" s="27">
        <f>IF(G377="","",IF(NOT(ISNUMBER(G377)),"Revisa",IF(H377="","Falta IVA",ROUND(G377*(1+(H377+IF(H377=21,5.2,IF(H377=10,1.4,IF(H377=4,0.5,0))))/100),2))))</f>
        <v/>
      </c>
      <c r="L377" s="27">
        <f>IF(G377="","",IF(NOT(ISNUMBER(G377)),"Revisa",ROUND(ROUND(G377*(1+N($K$8)/100)/$O$7,0)*$O$7,2)))</f>
        <v/>
      </c>
      <c r="M377" s="27">
        <f>IF(G377="","",IF(NOT(ISNUMBER(G377)),"Revisa",ROUND(ROUND(G377*(1+N($K$9)/100)/$O$7,0)*$O$7,2)))</f>
        <v/>
      </c>
      <c r="N377" s="27">
        <f>IF(G377="","",IF(NOT(ISNUMBER(G377)),"Revisa",ROUND(ROUND(G377*(1+N($K$10)/100)/$O$7,0)*$O$7,2)))</f>
        <v/>
      </c>
      <c r="O377">
        <f>IF(B377="","",MAX($O$12:O376)+1)</f>
        <v/>
      </c>
      <c r="P377">
        <f>IF(AND(B377="",G377&lt;&gt;""),1,0)</f>
        <v/>
      </c>
    </row>
    <row r="378">
      <c r="A378" s="21" t="n"/>
      <c r="B378" s="21" t="n"/>
      <c r="C378" s="21" t="n"/>
      <c r="D378" s="22" t="n"/>
      <c r="E378" s="21" t="n"/>
      <c r="F378" s="23" t="n"/>
      <c r="G378" s="24" t="n"/>
      <c r="H378" s="25" t="n"/>
      <c r="I378" s="26">
        <f>IF(OR(NOT(ISNUMBER(G378)),N(D378)&lt;=1),"",ROUND(G378/D378,3))</f>
        <v/>
      </c>
      <c r="J378" s="27">
        <f>IF(G378="","",IF(NOT(ISNUMBER(G378)),"Revisa",IF(H378="","Falta IVA",ROUND(G378*(1+H378/100),2))))</f>
        <v/>
      </c>
      <c r="K378" s="27">
        <f>IF(G378="","",IF(NOT(ISNUMBER(G378)),"Revisa",IF(H378="","Falta IVA",ROUND(G378*(1+(H378+IF(H378=21,5.2,IF(H378=10,1.4,IF(H378=4,0.5,0))))/100),2))))</f>
        <v/>
      </c>
      <c r="L378" s="27">
        <f>IF(G378="","",IF(NOT(ISNUMBER(G378)),"Revisa",ROUND(ROUND(G378*(1+N($K$8)/100)/$O$7,0)*$O$7,2)))</f>
        <v/>
      </c>
      <c r="M378" s="27">
        <f>IF(G378="","",IF(NOT(ISNUMBER(G378)),"Revisa",ROUND(ROUND(G378*(1+N($K$9)/100)/$O$7,0)*$O$7,2)))</f>
        <v/>
      </c>
      <c r="N378" s="27">
        <f>IF(G378="","",IF(NOT(ISNUMBER(G378)),"Revisa",ROUND(ROUND(G378*(1+N($K$10)/100)/$O$7,0)*$O$7,2)))</f>
        <v/>
      </c>
      <c r="O378">
        <f>IF(B378="","",MAX($O$12:O377)+1)</f>
        <v/>
      </c>
      <c r="P378">
        <f>IF(AND(B378="",G378&lt;&gt;""),1,0)</f>
        <v/>
      </c>
    </row>
    <row r="379">
      <c r="A379" s="21" t="n"/>
      <c r="B379" s="21" t="n"/>
      <c r="C379" s="21" t="n"/>
      <c r="D379" s="22" t="n"/>
      <c r="E379" s="21" t="n"/>
      <c r="F379" s="23" t="n"/>
      <c r="G379" s="24" t="n"/>
      <c r="H379" s="25" t="n"/>
      <c r="I379" s="26">
        <f>IF(OR(NOT(ISNUMBER(G379)),N(D379)&lt;=1),"",ROUND(G379/D379,3))</f>
        <v/>
      </c>
      <c r="J379" s="27">
        <f>IF(G379="","",IF(NOT(ISNUMBER(G379)),"Revisa",IF(H379="","Falta IVA",ROUND(G379*(1+H379/100),2))))</f>
        <v/>
      </c>
      <c r="K379" s="27">
        <f>IF(G379="","",IF(NOT(ISNUMBER(G379)),"Revisa",IF(H379="","Falta IVA",ROUND(G379*(1+(H379+IF(H379=21,5.2,IF(H379=10,1.4,IF(H379=4,0.5,0))))/100),2))))</f>
        <v/>
      </c>
      <c r="L379" s="27">
        <f>IF(G379="","",IF(NOT(ISNUMBER(G379)),"Revisa",ROUND(ROUND(G379*(1+N($K$8)/100)/$O$7,0)*$O$7,2)))</f>
        <v/>
      </c>
      <c r="M379" s="27">
        <f>IF(G379="","",IF(NOT(ISNUMBER(G379)),"Revisa",ROUND(ROUND(G379*(1+N($K$9)/100)/$O$7,0)*$O$7,2)))</f>
        <v/>
      </c>
      <c r="N379" s="27">
        <f>IF(G379="","",IF(NOT(ISNUMBER(G379)),"Revisa",ROUND(ROUND(G379*(1+N($K$10)/100)/$O$7,0)*$O$7,2)))</f>
        <v/>
      </c>
      <c r="O379">
        <f>IF(B379="","",MAX($O$12:O378)+1)</f>
        <v/>
      </c>
      <c r="P379">
        <f>IF(AND(B379="",G379&lt;&gt;""),1,0)</f>
        <v/>
      </c>
    </row>
    <row r="380">
      <c r="A380" s="21" t="n"/>
      <c r="B380" s="21" t="n"/>
      <c r="C380" s="21" t="n"/>
      <c r="D380" s="22" t="n"/>
      <c r="E380" s="21" t="n"/>
      <c r="F380" s="23" t="n"/>
      <c r="G380" s="24" t="n"/>
      <c r="H380" s="25" t="n"/>
      <c r="I380" s="26">
        <f>IF(OR(NOT(ISNUMBER(G380)),N(D380)&lt;=1),"",ROUND(G380/D380,3))</f>
        <v/>
      </c>
      <c r="J380" s="27">
        <f>IF(G380="","",IF(NOT(ISNUMBER(G380)),"Revisa",IF(H380="","Falta IVA",ROUND(G380*(1+H380/100),2))))</f>
        <v/>
      </c>
      <c r="K380" s="27">
        <f>IF(G380="","",IF(NOT(ISNUMBER(G380)),"Revisa",IF(H380="","Falta IVA",ROUND(G380*(1+(H380+IF(H380=21,5.2,IF(H380=10,1.4,IF(H380=4,0.5,0))))/100),2))))</f>
        <v/>
      </c>
      <c r="L380" s="27">
        <f>IF(G380="","",IF(NOT(ISNUMBER(G380)),"Revisa",ROUND(ROUND(G380*(1+N($K$8)/100)/$O$7,0)*$O$7,2)))</f>
        <v/>
      </c>
      <c r="M380" s="27">
        <f>IF(G380="","",IF(NOT(ISNUMBER(G380)),"Revisa",ROUND(ROUND(G380*(1+N($K$9)/100)/$O$7,0)*$O$7,2)))</f>
        <v/>
      </c>
      <c r="N380" s="27">
        <f>IF(G380="","",IF(NOT(ISNUMBER(G380)),"Revisa",ROUND(ROUND(G380*(1+N($K$10)/100)/$O$7,0)*$O$7,2)))</f>
        <v/>
      </c>
      <c r="O380">
        <f>IF(B380="","",MAX($O$12:O379)+1)</f>
        <v/>
      </c>
      <c r="P380">
        <f>IF(AND(B380="",G380&lt;&gt;""),1,0)</f>
        <v/>
      </c>
    </row>
    <row r="381">
      <c r="A381" s="21" t="n"/>
      <c r="B381" s="21" t="n"/>
      <c r="C381" s="21" t="n"/>
      <c r="D381" s="22" t="n"/>
      <c r="E381" s="21" t="n"/>
      <c r="F381" s="23" t="n"/>
      <c r="G381" s="24" t="n"/>
      <c r="H381" s="25" t="n"/>
      <c r="I381" s="26">
        <f>IF(OR(NOT(ISNUMBER(G381)),N(D381)&lt;=1),"",ROUND(G381/D381,3))</f>
        <v/>
      </c>
      <c r="J381" s="27">
        <f>IF(G381="","",IF(NOT(ISNUMBER(G381)),"Revisa",IF(H381="","Falta IVA",ROUND(G381*(1+H381/100),2))))</f>
        <v/>
      </c>
      <c r="K381" s="27">
        <f>IF(G381="","",IF(NOT(ISNUMBER(G381)),"Revisa",IF(H381="","Falta IVA",ROUND(G381*(1+(H381+IF(H381=21,5.2,IF(H381=10,1.4,IF(H381=4,0.5,0))))/100),2))))</f>
        <v/>
      </c>
      <c r="L381" s="27">
        <f>IF(G381="","",IF(NOT(ISNUMBER(G381)),"Revisa",ROUND(ROUND(G381*(1+N($K$8)/100)/$O$7,0)*$O$7,2)))</f>
        <v/>
      </c>
      <c r="M381" s="27">
        <f>IF(G381="","",IF(NOT(ISNUMBER(G381)),"Revisa",ROUND(ROUND(G381*(1+N($K$9)/100)/$O$7,0)*$O$7,2)))</f>
        <v/>
      </c>
      <c r="N381" s="27">
        <f>IF(G381="","",IF(NOT(ISNUMBER(G381)),"Revisa",ROUND(ROUND(G381*(1+N($K$10)/100)/$O$7,0)*$O$7,2)))</f>
        <v/>
      </c>
      <c r="O381">
        <f>IF(B381="","",MAX($O$12:O380)+1)</f>
        <v/>
      </c>
      <c r="P381">
        <f>IF(AND(B381="",G381&lt;&gt;""),1,0)</f>
        <v/>
      </c>
    </row>
    <row r="382">
      <c r="A382" s="21" t="n"/>
      <c r="B382" s="21" t="n"/>
      <c r="C382" s="21" t="n"/>
      <c r="D382" s="22" t="n"/>
      <c r="E382" s="21" t="n"/>
      <c r="F382" s="23" t="n"/>
      <c r="G382" s="24" t="n"/>
      <c r="H382" s="25" t="n"/>
      <c r="I382" s="26">
        <f>IF(OR(NOT(ISNUMBER(G382)),N(D382)&lt;=1),"",ROUND(G382/D382,3))</f>
        <v/>
      </c>
      <c r="J382" s="27">
        <f>IF(G382="","",IF(NOT(ISNUMBER(G382)),"Revisa",IF(H382="","Falta IVA",ROUND(G382*(1+H382/100),2))))</f>
        <v/>
      </c>
      <c r="K382" s="27">
        <f>IF(G382="","",IF(NOT(ISNUMBER(G382)),"Revisa",IF(H382="","Falta IVA",ROUND(G382*(1+(H382+IF(H382=21,5.2,IF(H382=10,1.4,IF(H382=4,0.5,0))))/100),2))))</f>
        <v/>
      </c>
      <c r="L382" s="27">
        <f>IF(G382="","",IF(NOT(ISNUMBER(G382)),"Revisa",ROUND(ROUND(G382*(1+N($K$8)/100)/$O$7,0)*$O$7,2)))</f>
        <v/>
      </c>
      <c r="M382" s="27">
        <f>IF(G382="","",IF(NOT(ISNUMBER(G382)),"Revisa",ROUND(ROUND(G382*(1+N($K$9)/100)/$O$7,0)*$O$7,2)))</f>
        <v/>
      </c>
      <c r="N382" s="27">
        <f>IF(G382="","",IF(NOT(ISNUMBER(G382)),"Revisa",ROUND(ROUND(G382*(1+N($K$10)/100)/$O$7,0)*$O$7,2)))</f>
        <v/>
      </c>
      <c r="O382">
        <f>IF(B382="","",MAX($O$12:O381)+1)</f>
        <v/>
      </c>
      <c r="P382">
        <f>IF(AND(B382="",G382&lt;&gt;""),1,0)</f>
        <v/>
      </c>
    </row>
    <row r="383">
      <c r="A383" s="21" t="n"/>
      <c r="B383" s="21" t="n"/>
      <c r="C383" s="21" t="n"/>
      <c r="D383" s="22" t="n"/>
      <c r="E383" s="21" t="n"/>
      <c r="F383" s="23" t="n"/>
      <c r="G383" s="24" t="n"/>
      <c r="H383" s="25" t="n"/>
      <c r="I383" s="26">
        <f>IF(OR(NOT(ISNUMBER(G383)),N(D383)&lt;=1),"",ROUND(G383/D383,3))</f>
        <v/>
      </c>
      <c r="J383" s="27">
        <f>IF(G383="","",IF(NOT(ISNUMBER(G383)),"Revisa",IF(H383="","Falta IVA",ROUND(G383*(1+H383/100),2))))</f>
        <v/>
      </c>
      <c r="K383" s="27">
        <f>IF(G383="","",IF(NOT(ISNUMBER(G383)),"Revisa",IF(H383="","Falta IVA",ROUND(G383*(1+(H383+IF(H383=21,5.2,IF(H383=10,1.4,IF(H383=4,0.5,0))))/100),2))))</f>
        <v/>
      </c>
      <c r="L383" s="27">
        <f>IF(G383="","",IF(NOT(ISNUMBER(G383)),"Revisa",ROUND(ROUND(G383*(1+N($K$8)/100)/$O$7,0)*$O$7,2)))</f>
        <v/>
      </c>
      <c r="M383" s="27">
        <f>IF(G383="","",IF(NOT(ISNUMBER(G383)),"Revisa",ROUND(ROUND(G383*(1+N($K$9)/100)/$O$7,0)*$O$7,2)))</f>
        <v/>
      </c>
      <c r="N383" s="27">
        <f>IF(G383="","",IF(NOT(ISNUMBER(G383)),"Revisa",ROUND(ROUND(G383*(1+N($K$10)/100)/$O$7,0)*$O$7,2)))</f>
        <v/>
      </c>
      <c r="O383">
        <f>IF(B383="","",MAX($O$12:O382)+1)</f>
        <v/>
      </c>
      <c r="P383">
        <f>IF(AND(B383="",G383&lt;&gt;""),1,0)</f>
        <v/>
      </c>
    </row>
    <row r="384">
      <c r="A384" s="21" t="n"/>
      <c r="B384" s="21" t="n"/>
      <c r="C384" s="21" t="n"/>
      <c r="D384" s="22" t="n"/>
      <c r="E384" s="21" t="n"/>
      <c r="F384" s="23" t="n"/>
      <c r="G384" s="24" t="n"/>
      <c r="H384" s="25" t="n"/>
      <c r="I384" s="26">
        <f>IF(OR(NOT(ISNUMBER(G384)),N(D384)&lt;=1),"",ROUND(G384/D384,3))</f>
        <v/>
      </c>
      <c r="J384" s="27">
        <f>IF(G384="","",IF(NOT(ISNUMBER(G384)),"Revisa",IF(H384="","Falta IVA",ROUND(G384*(1+H384/100),2))))</f>
        <v/>
      </c>
      <c r="K384" s="27">
        <f>IF(G384="","",IF(NOT(ISNUMBER(G384)),"Revisa",IF(H384="","Falta IVA",ROUND(G384*(1+(H384+IF(H384=21,5.2,IF(H384=10,1.4,IF(H384=4,0.5,0))))/100),2))))</f>
        <v/>
      </c>
      <c r="L384" s="27">
        <f>IF(G384="","",IF(NOT(ISNUMBER(G384)),"Revisa",ROUND(ROUND(G384*(1+N($K$8)/100)/$O$7,0)*$O$7,2)))</f>
        <v/>
      </c>
      <c r="M384" s="27">
        <f>IF(G384="","",IF(NOT(ISNUMBER(G384)),"Revisa",ROUND(ROUND(G384*(1+N($K$9)/100)/$O$7,0)*$O$7,2)))</f>
        <v/>
      </c>
      <c r="N384" s="27">
        <f>IF(G384="","",IF(NOT(ISNUMBER(G384)),"Revisa",ROUND(ROUND(G384*(1+N($K$10)/100)/$O$7,0)*$O$7,2)))</f>
        <v/>
      </c>
      <c r="O384">
        <f>IF(B384="","",MAX($O$12:O383)+1)</f>
        <v/>
      </c>
      <c r="P384">
        <f>IF(AND(B384="",G384&lt;&gt;""),1,0)</f>
        <v/>
      </c>
    </row>
    <row r="385">
      <c r="A385" s="21" t="n"/>
      <c r="B385" s="21" t="n"/>
      <c r="C385" s="21" t="n"/>
      <c r="D385" s="22" t="n"/>
      <c r="E385" s="21" t="n"/>
      <c r="F385" s="23" t="n"/>
      <c r="G385" s="24" t="n"/>
      <c r="H385" s="25" t="n"/>
      <c r="I385" s="26">
        <f>IF(OR(NOT(ISNUMBER(G385)),N(D385)&lt;=1),"",ROUND(G385/D385,3))</f>
        <v/>
      </c>
      <c r="J385" s="27">
        <f>IF(G385="","",IF(NOT(ISNUMBER(G385)),"Revisa",IF(H385="","Falta IVA",ROUND(G385*(1+H385/100),2))))</f>
        <v/>
      </c>
      <c r="K385" s="27">
        <f>IF(G385="","",IF(NOT(ISNUMBER(G385)),"Revisa",IF(H385="","Falta IVA",ROUND(G385*(1+(H385+IF(H385=21,5.2,IF(H385=10,1.4,IF(H385=4,0.5,0))))/100),2))))</f>
        <v/>
      </c>
      <c r="L385" s="27">
        <f>IF(G385="","",IF(NOT(ISNUMBER(G385)),"Revisa",ROUND(ROUND(G385*(1+N($K$8)/100)/$O$7,0)*$O$7,2)))</f>
        <v/>
      </c>
      <c r="M385" s="27">
        <f>IF(G385="","",IF(NOT(ISNUMBER(G385)),"Revisa",ROUND(ROUND(G385*(1+N($K$9)/100)/$O$7,0)*$O$7,2)))</f>
        <v/>
      </c>
      <c r="N385" s="27">
        <f>IF(G385="","",IF(NOT(ISNUMBER(G385)),"Revisa",ROUND(ROUND(G385*(1+N($K$10)/100)/$O$7,0)*$O$7,2)))</f>
        <v/>
      </c>
      <c r="O385">
        <f>IF(B385="","",MAX($O$12:O384)+1)</f>
        <v/>
      </c>
      <c r="P385">
        <f>IF(AND(B385="",G385&lt;&gt;""),1,0)</f>
        <v/>
      </c>
    </row>
    <row r="386">
      <c r="A386" s="21" t="n"/>
      <c r="B386" s="21" t="n"/>
      <c r="C386" s="21" t="n"/>
      <c r="D386" s="22" t="n"/>
      <c r="E386" s="21" t="n"/>
      <c r="F386" s="23" t="n"/>
      <c r="G386" s="24" t="n"/>
      <c r="H386" s="25" t="n"/>
      <c r="I386" s="26">
        <f>IF(OR(NOT(ISNUMBER(G386)),N(D386)&lt;=1),"",ROUND(G386/D386,3))</f>
        <v/>
      </c>
      <c r="J386" s="27">
        <f>IF(G386="","",IF(NOT(ISNUMBER(G386)),"Revisa",IF(H386="","Falta IVA",ROUND(G386*(1+H386/100),2))))</f>
        <v/>
      </c>
      <c r="K386" s="27">
        <f>IF(G386="","",IF(NOT(ISNUMBER(G386)),"Revisa",IF(H386="","Falta IVA",ROUND(G386*(1+(H386+IF(H386=21,5.2,IF(H386=10,1.4,IF(H386=4,0.5,0))))/100),2))))</f>
        <v/>
      </c>
      <c r="L386" s="27">
        <f>IF(G386="","",IF(NOT(ISNUMBER(G386)),"Revisa",ROUND(ROUND(G386*(1+N($K$8)/100)/$O$7,0)*$O$7,2)))</f>
        <v/>
      </c>
      <c r="M386" s="27">
        <f>IF(G386="","",IF(NOT(ISNUMBER(G386)),"Revisa",ROUND(ROUND(G386*(1+N($K$9)/100)/$O$7,0)*$O$7,2)))</f>
        <v/>
      </c>
      <c r="N386" s="27">
        <f>IF(G386="","",IF(NOT(ISNUMBER(G386)),"Revisa",ROUND(ROUND(G386*(1+N($K$10)/100)/$O$7,0)*$O$7,2)))</f>
        <v/>
      </c>
      <c r="O386">
        <f>IF(B386="","",MAX($O$12:O385)+1)</f>
        <v/>
      </c>
      <c r="P386">
        <f>IF(AND(B386="",G386&lt;&gt;""),1,0)</f>
        <v/>
      </c>
    </row>
    <row r="387">
      <c r="A387" s="21" t="n"/>
      <c r="B387" s="21" t="n"/>
      <c r="C387" s="21" t="n"/>
      <c r="D387" s="22" t="n"/>
      <c r="E387" s="21" t="n"/>
      <c r="F387" s="23" t="n"/>
      <c r="G387" s="24" t="n"/>
      <c r="H387" s="25" t="n"/>
      <c r="I387" s="26">
        <f>IF(OR(NOT(ISNUMBER(G387)),N(D387)&lt;=1),"",ROUND(G387/D387,3))</f>
        <v/>
      </c>
      <c r="J387" s="27">
        <f>IF(G387="","",IF(NOT(ISNUMBER(G387)),"Revisa",IF(H387="","Falta IVA",ROUND(G387*(1+H387/100),2))))</f>
        <v/>
      </c>
      <c r="K387" s="27">
        <f>IF(G387="","",IF(NOT(ISNUMBER(G387)),"Revisa",IF(H387="","Falta IVA",ROUND(G387*(1+(H387+IF(H387=21,5.2,IF(H387=10,1.4,IF(H387=4,0.5,0))))/100),2))))</f>
        <v/>
      </c>
      <c r="L387" s="27">
        <f>IF(G387="","",IF(NOT(ISNUMBER(G387)),"Revisa",ROUND(ROUND(G387*(1+N($K$8)/100)/$O$7,0)*$O$7,2)))</f>
        <v/>
      </c>
      <c r="M387" s="27">
        <f>IF(G387="","",IF(NOT(ISNUMBER(G387)),"Revisa",ROUND(ROUND(G387*(1+N($K$9)/100)/$O$7,0)*$O$7,2)))</f>
        <v/>
      </c>
      <c r="N387" s="27">
        <f>IF(G387="","",IF(NOT(ISNUMBER(G387)),"Revisa",ROUND(ROUND(G387*(1+N($K$10)/100)/$O$7,0)*$O$7,2)))</f>
        <v/>
      </c>
      <c r="O387">
        <f>IF(B387="","",MAX($O$12:O386)+1)</f>
        <v/>
      </c>
      <c r="P387">
        <f>IF(AND(B387="",G387&lt;&gt;""),1,0)</f>
        <v/>
      </c>
    </row>
    <row r="388">
      <c r="A388" s="21" t="n"/>
      <c r="B388" s="21" t="n"/>
      <c r="C388" s="21" t="n"/>
      <c r="D388" s="22" t="n"/>
      <c r="E388" s="21" t="n"/>
      <c r="F388" s="23" t="n"/>
      <c r="G388" s="24" t="n"/>
      <c r="H388" s="25" t="n"/>
      <c r="I388" s="26">
        <f>IF(OR(NOT(ISNUMBER(G388)),N(D388)&lt;=1),"",ROUND(G388/D388,3))</f>
        <v/>
      </c>
      <c r="J388" s="27">
        <f>IF(G388="","",IF(NOT(ISNUMBER(G388)),"Revisa",IF(H388="","Falta IVA",ROUND(G388*(1+H388/100),2))))</f>
        <v/>
      </c>
      <c r="K388" s="27">
        <f>IF(G388="","",IF(NOT(ISNUMBER(G388)),"Revisa",IF(H388="","Falta IVA",ROUND(G388*(1+(H388+IF(H388=21,5.2,IF(H388=10,1.4,IF(H388=4,0.5,0))))/100),2))))</f>
        <v/>
      </c>
      <c r="L388" s="27">
        <f>IF(G388="","",IF(NOT(ISNUMBER(G388)),"Revisa",ROUND(ROUND(G388*(1+N($K$8)/100)/$O$7,0)*$O$7,2)))</f>
        <v/>
      </c>
      <c r="M388" s="27">
        <f>IF(G388="","",IF(NOT(ISNUMBER(G388)),"Revisa",ROUND(ROUND(G388*(1+N($K$9)/100)/$O$7,0)*$O$7,2)))</f>
        <v/>
      </c>
      <c r="N388" s="27">
        <f>IF(G388="","",IF(NOT(ISNUMBER(G388)),"Revisa",ROUND(ROUND(G388*(1+N($K$10)/100)/$O$7,0)*$O$7,2)))</f>
        <v/>
      </c>
      <c r="O388">
        <f>IF(B388="","",MAX($O$12:O387)+1)</f>
        <v/>
      </c>
      <c r="P388">
        <f>IF(AND(B388="",G388&lt;&gt;""),1,0)</f>
        <v/>
      </c>
    </row>
    <row r="389">
      <c r="A389" s="21" t="n"/>
      <c r="B389" s="21" t="n"/>
      <c r="C389" s="21" t="n"/>
      <c r="D389" s="22" t="n"/>
      <c r="E389" s="21" t="n"/>
      <c r="F389" s="23" t="n"/>
      <c r="G389" s="24" t="n"/>
      <c r="H389" s="25" t="n"/>
      <c r="I389" s="26">
        <f>IF(OR(NOT(ISNUMBER(G389)),N(D389)&lt;=1),"",ROUND(G389/D389,3))</f>
        <v/>
      </c>
      <c r="J389" s="27">
        <f>IF(G389="","",IF(NOT(ISNUMBER(G389)),"Revisa",IF(H389="","Falta IVA",ROUND(G389*(1+H389/100),2))))</f>
        <v/>
      </c>
      <c r="K389" s="27">
        <f>IF(G389="","",IF(NOT(ISNUMBER(G389)),"Revisa",IF(H389="","Falta IVA",ROUND(G389*(1+(H389+IF(H389=21,5.2,IF(H389=10,1.4,IF(H389=4,0.5,0))))/100),2))))</f>
        <v/>
      </c>
      <c r="L389" s="27">
        <f>IF(G389="","",IF(NOT(ISNUMBER(G389)),"Revisa",ROUND(ROUND(G389*(1+N($K$8)/100)/$O$7,0)*$O$7,2)))</f>
        <v/>
      </c>
      <c r="M389" s="27">
        <f>IF(G389="","",IF(NOT(ISNUMBER(G389)),"Revisa",ROUND(ROUND(G389*(1+N($K$9)/100)/$O$7,0)*$O$7,2)))</f>
        <v/>
      </c>
      <c r="N389" s="27">
        <f>IF(G389="","",IF(NOT(ISNUMBER(G389)),"Revisa",ROUND(ROUND(G389*(1+N($K$10)/100)/$O$7,0)*$O$7,2)))</f>
        <v/>
      </c>
      <c r="O389">
        <f>IF(B389="","",MAX($O$12:O388)+1)</f>
        <v/>
      </c>
      <c r="P389">
        <f>IF(AND(B389="",G389&lt;&gt;""),1,0)</f>
        <v/>
      </c>
    </row>
    <row r="390">
      <c r="A390" s="21" t="n"/>
      <c r="B390" s="21" t="n"/>
      <c r="C390" s="21" t="n"/>
      <c r="D390" s="22" t="n"/>
      <c r="E390" s="21" t="n"/>
      <c r="F390" s="23" t="n"/>
      <c r="G390" s="24" t="n"/>
      <c r="H390" s="25" t="n"/>
      <c r="I390" s="26">
        <f>IF(OR(NOT(ISNUMBER(G390)),N(D390)&lt;=1),"",ROUND(G390/D390,3))</f>
        <v/>
      </c>
      <c r="J390" s="27">
        <f>IF(G390="","",IF(NOT(ISNUMBER(G390)),"Revisa",IF(H390="","Falta IVA",ROUND(G390*(1+H390/100),2))))</f>
        <v/>
      </c>
      <c r="K390" s="27">
        <f>IF(G390="","",IF(NOT(ISNUMBER(G390)),"Revisa",IF(H390="","Falta IVA",ROUND(G390*(1+(H390+IF(H390=21,5.2,IF(H390=10,1.4,IF(H390=4,0.5,0))))/100),2))))</f>
        <v/>
      </c>
      <c r="L390" s="27">
        <f>IF(G390="","",IF(NOT(ISNUMBER(G390)),"Revisa",ROUND(ROUND(G390*(1+N($K$8)/100)/$O$7,0)*$O$7,2)))</f>
        <v/>
      </c>
      <c r="M390" s="27">
        <f>IF(G390="","",IF(NOT(ISNUMBER(G390)),"Revisa",ROUND(ROUND(G390*(1+N($K$9)/100)/$O$7,0)*$O$7,2)))</f>
        <v/>
      </c>
      <c r="N390" s="27">
        <f>IF(G390="","",IF(NOT(ISNUMBER(G390)),"Revisa",ROUND(ROUND(G390*(1+N($K$10)/100)/$O$7,0)*$O$7,2)))</f>
        <v/>
      </c>
      <c r="O390">
        <f>IF(B390="","",MAX($O$12:O389)+1)</f>
        <v/>
      </c>
      <c r="P390">
        <f>IF(AND(B390="",G390&lt;&gt;""),1,0)</f>
        <v/>
      </c>
    </row>
    <row r="391">
      <c r="A391" s="21" t="n"/>
      <c r="B391" s="21" t="n"/>
      <c r="C391" s="21" t="n"/>
      <c r="D391" s="22" t="n"/>
      <c r="E391" s="21" t="n"/>
      <c r="F391" s="23" t="n"/>
      <c r="G391" s="24" t="n"/>
      <c r="H391" s="25" t="n"/>
      <c r="I391" s="26">
        <f>IF(OR(NOT(ISNUMBER(G391)),N(D391)&lt;=1),"",ROUND(G391/D391,3))</f>
        <v/>
      </c>
      <c r="J391" s="27">
        <f>IF(G391="","",IF(NOT(ISNUMBER(G391)),"Revisa",IF(H391="","Falta IVA",ROUND(G391*(1+H391/100),2))))</f>
        <v/>
      </c>
      <c r="K391" s="27">
        <f>IF(G391="","",IF(NOT(ISNUMBER(G391)),"Revisa",IF(H391="","Falta IVA",ROUND(G391*(1+(H391+IF(H391=21,5.2,IF(H391=10,1.4,IF(H391=4,0.5,0))))/100),2))))</f>
        <v/>
      </c>
      <c r="L391" s="27">
        <f>IF(G391="","",IF(NOT(ISNUMBER(G391)),"Revisa",ROUND(ROUND(G391*(1+N($K$8)/100)/$O$7,0)*$O$7,2)))</f>
        <v/>
      </c>
      <c r="M391" s="27">
        <f>IF(G391="","",IF(NOT(ISNUMBER(G391)),"Revisa",ROUND(ROUND(G391*(1+N($K$9)/100)/$O$7,0)*$O$7,2)))</f>
        <v/>
      </c>
      <c r="N391" s="27">
        <f>IF(G391="","",IF(NOT(ISNUMBER(G391)),"Revisa",ROUND(ROUND(G391*(1+N($K$10)/100)/$O$7,0)*$O$7,2)))</f>
        <v/>
      </c>
      <c r="O391">
        <f>IF(B391="","",MAX($O$12:O390)+1)</f>
        <v/>
      </c>
      <c r="P391">
        <f>IF(AND(B391="",G391&lt;&gt;""),1,0)</f>
        <v/>
      </c>
    </row>
    <row r="392">
      <c r="A392" s="21" t="n"/>
      <c r="B392" s="21" t="n"/>
      <c r="C392" s="21" t="n"/>
      <c r="D392" s="22" t="n"/>
      <c r="E392" s="21" t="n"/>
      <c r="F392" s="23" t="n"/>
      <c r="G392" s="24" t="n"/>
      <c r="H392" s="25" t="n"/>
      <c r="I392" s="26">
        <f>IF(OR(NOT(ISNUMBER(G392)),N(D392)&lt;=1),"",ROUND(G392/D392,3))</f>
        <v/>
      </c>
      <c r="J392" s="27">
        <f>IF(G392="","",IF(NOT(ISNUMBER(G392)),"Revisa",IF(H392="","Falta IVA",ROUND(G392*(1+H392/100),2))))</f>
        <v/>
      </c>
      <c r="K392" s="27">
        <f>IF(G392="","",IF(NOT(ISNUMBER(G392)),"Revisa",IF(H392="","Falta IVA",ROUND(G392*(1+(H392+IF(H392=21,5.2,IF(H392=10,1.4,IF(H392=4,0.5,0))))/100),2))))</f>
        <v/>
      </c>
      <c r="L392" s="27">
        <f>IF(G392="","",IF(NOT(ISNUMBER(G392)),"Revisa",ROUND(ROUND(G392*(1+N($K$8)/100)/$O$7,0)*$O$7,2)))</f>
        <v/>
      </c>
      <c r="M392" s="27">
        <f>IF(G392="","",IF(NOT(ISNUMBER(G392)),"Revisa",ROUND(ROUND(G392*(1+N($K$9)/100)/$O$7,0)*$O$7,2)))</f>
        <v/>
      </c>
      <c r="N392" s="27">
        <f>IF(G392="","",IF(NOT(ISNUMBER(G392)),"Revisa",ROUND(ROUND(G392*(1+N($K$10)/100)/$O$7,0)*$O$7,2)))</f>
        <v/>
      </c>
      <c r="O392">
        <f>IF(B392="","",MAX($O$12:O391)+1)</f>
        <v/>
      </c>
      <c r="P392">
        <f>IF(AND(B392="",G392&lt;&gt;""),1,0)</f>
        <v/>
      </c>
    </row>
    <row r="393">
      <c r="A393" s="21" t="n"/>
      <c r="B393" s="21" t="n"/>
      <c r="C393" s="21" t="n"/>
      <c r="D393" s="22" t="n"/>
      <c r="E393" s="21" t="n"/>
      <c r="F393" s="23" t="n"/>
      <c r="G393" s="24" t="n"/>
      <c r="H393" s="25" t="n"/>
      <c r="I393" s="26">
        <f>IF(OR(NOT(ISNUMBER(G393)),N(D393)&lt;=1),"",ROUND(G393/D393,3))</f>
        <v/>
      </c>
      <c r="J393" s="27">
        <f>IF(G393="","",IF(NOT(ISNUMBER(G393)),"Revisa",IF(H393="","Falta IVA",ROUND(G393*(1+H393/100),2))))</f>
        <v/>
      </c>
      <c r="K393" s="27">
        <f>IF(G393="","",IF(NOT(ISNUMBER(G393)),"Revisa",IF(H393="","Falta IVA",ROUND(G393*(1+(H393+IF(H393=21,5.2,IF(H393=10,1.4,IF(H393=4,0.5,0))))/100),2))))</f>
        <v/>
      </c>
      <c r="L393" s="27">
        <f>IF(G393="","",IF(NOT(ISNUMBER(G393)),"Revisa",ROUND(ROUND(G393*(1+N($K$8)/100)/$O$7,0)*$O$7,2)))</f>
        <v/>
      </c>
      <c r="M393" s="27">
        <f>IF(G393="","",IF(NOT(ISNUMBER(G393)),"Revisa",ROUND(ROUND(G393*(1+N($K$9)/100)/$O$7,0)*$O$7,2)))</f>
        <v/>
      </c>
      <c r="N393" s="27">
        <f>IF(G393="","",IF(NOT(ISNUMBER(G393)),"Revisa",ROUND(ROUND(G393*(1+N($K$10)/100)/$O$7,0)*$O$7,2)))</f>
        <v/>
      </c>
      <c r="O393">
        <f>IF(B393="","",MAX($O$12:O392)+1)</f>
        <v/>
      </c>
      <c r="P393">
        <f>IF(AND(B393="",G393&lt;&gt;""),1,0)</f>
        <v/>
      </c>
    </row>
    <row r="394">
      <c r="A394" s="21" t="n"/>
      <c r="B394" s="21" t="n"/>
      <c r="C394" s="21" t="n"/>
      <c r="D394" s="22" t="n"/>
      <c r="E394" s="21" t="n"/>
      <c r="F394" s="23" t="n"/>
      <c r="G394" s="24" t="n"/>
      <c r="H394" s="25" t="n"/>
      <c r="I394" s="26">
        <f>IF(OR(NOT(ISNUMBER(G394)),N(D394)&lt;=1),"",ROUND(G394/D394,3))</f>
        <v/>
      </c>
      <c r="J394" s="27">
        <f>IF(G394="","",IF(NOT(ISNUMBER(G394)),"Revisa",IF(H394="","Falta IVA",ROUND(G394*(1+H394/100),2))))</f>
        <v/>
      </c>
      <c r="K394" s="27">
        <f>IF(G394="","",IF(NOT(ISNUMBER(G394)),"Revisa",IF(H394="","Falta IVA",ROUND(G394*(1+(H394+IF(H394=21,5.2,IF(H394=10,1.4,IF(H394=4,0.5,0))))/100),2))))</f>
        <v/>
      </c>
      <c r="L394" s="27">
        <f>IF(G394="","",IF(NOT(ISNUMBER(G394)),"Revisa",ROUND(ROUND(G394*(1+N($K$8)/100)/$O$7,0)*$O$7,2)))</f>
        <v/>
      </c>
      <c r="M394" s="27">
        <f>IF(G394="","",IF(NOT(ISNUMBER(G394)),"Revisa",ROUND(ROUND(G394*(1+N($K$9)/100)/$O$7,0)*$O$7,2)))</f>
        <v/>
      </c>
      <c r="N394" s="27">
        <f>IF(G394="","",IF(NOT(ISNUMBER(G394)),"Revisa",ROUND(ROUND(G394*(1+N($K$10)/100)/$O$7,0)*$O$7,2)))</f>
        <v/>
      </c>
      <c r="O394">
        <f>IF(B394="","",MAX($O$12:O393)+1)</f>
        <v/>
      </c>
      <c r="P394">
        <f>IF(AND(B394="",G394&lt;&gt;""),1,0)</f>
        <v/>
      </c>
    </row>
    <row r="395">
      <c r="A395" s="21" t="n"/>
      <c r="B395" s="21" t="n"/>
      <c r="C395" s="21" t="n"/>
      <c r="D395" s="22" t="n"/>
      <c r="E395" s="21" t="n"/>
      <c r="F395" s="23" t="n"/>
      <c r="G395" s="24" t="n"/>
      <c r="H395" s="25" t="n"/>
      <c r="I395" s="26">
        <f>IF(OR(NOT(ISNUMBER(G395)),N(D395)&lt;=1),"",ROUND(G395/D395,3))</f>
        <v/>
      </c>
      <c r="J395" s="27">
        <f>IF(G395="","",IF(NOT(ISNUMBER(G395)),"Revisa",IF(H395="","Falta IVA",ROUND(G395*(1+H395/100),2))))</f>
        <v/>
      </c>
      <c r="K395" s="27">
        <f>IF(G395="","",IF(NOT(ISNUMBER(G395)),"Revisa",IF(H395="","Falta IVA",ROUND(G395*(1+(H395+IF(H395=21,5.2,IF(H395=10,1.4,IF(H395=4,0.5,0))))/100),2))))</f>
        <v/>
      </c>
      <c r="L395" s="27">
        <f>IF(G395="","",IF(NOT(ISNUMBER(G395)),"Revisa",ROUND(ROUND(G395*(1+N($K$8)/100)/$O$7,0)*$O$7,2)))</f>
        <v/>
      </c>
      <c r="M395" s="27">
        <f>IF(G395="","",IF(NOT(ISNUMBER(G395)),"Revisa",ROUND(ROUND(G395*(1+N($K$9)/100)/$O$7,0)*$O$7,2)))</f>
        <v/>
      </c>
      <c r="N395" s="27">
        <f>IF(G395="","",IF(NOT(ISNUMBER(G395)),"Revisa",ROUND(ROUND(G395*(1+N($K$10)/100)/$O$7,0)*$O$7,2)))</f>
        <v/>
      </c>
      <c r="O395">
        <f>IF(B395="","",MAX($O$12:O394)+1)</f>
        <v/>
      </c>
      <c r="P395">
        <f>IF(AND(B395="",G395&lt;&gt;""),1,0)</f>
        <v/>
      </c>
    </row>
    <row r="396">
      <c r="A396" s="21" t="n"/>
      <c r="B396" s="21" t="n"/>
      <c r="C396" s="21" t="n"/>
      <c r="D396" s="22" t="n"/>
      <c r="E396" s="21" t="n"/>
      <c r="F396" s="23" t="n"/>
      <c r="G396" s="24" t="n"/>
      <c r="H396" s="25" t="n"/>
      <c r="I396" s="26">
        <f>IF(OR(NOT(ISNUMBER(G396)),N(D396)&lt;=1),"",ROUND(G396/D396,3))</f>
        <v/>
      </c>
      <c r="J396" s="27">
        <f>IF(G396="","",IF(NOT(ISNUMBER(G396)),"Revisa",IF(H396="","Falta IVA",ROUND(G396*(1+H396/100),2))))</f>
        <v/>
      </c>
      <c r="K396" s="27">
        <f>IF(G396="","",IF(NOT(ISNUMBER(G396)),"Revisa",IF(H396="","Falta IVA",ROUND(G396*(1+(H396+IF(H396=21,5.2,IF(H396=10,1.4,IF(H396=4,0.5,0))))/100),2))))</f>
        <v/>
      </c>
      <c r="L396" s="27">
        <f>IF(G396="","",IF(NOT(ISNUMBER(G396)),"Revisa",ROUND(ROUND(G396*(1+N($K$8)/100)/$O$7,0)*$O$7,2)))</f>
        <v/>
      </c>
      <c r="M396" s="27">
        <f>IF(G396="","",IF(NOT(ISNUMBER(G396)),"Revisa",ROUND(ROUND(G396*(1+N($K$9)/100)/$O$7,0)*$O$7,2)))</f>
        <v/>
      </c>
      <c r="N396" s="27">
        <f>IF(G396="","",IF(NOT(ISNUMBER(G396)),"Revisa",ROUND(ROUND(G396*(1+N($K$10)/100)/$O$7,0)*$O$7,2)))</f>
        <v/>
      </c>
      <c r="O396">
        <f>IF(B396="","",MAX($O$12:O395)+1)</f>
        <v/>
      </c>
      <c r="P396">
        <f>IF(AND(B396="",G396&lt;&gt;""),1,0)</f>
        <v/>
      </c>
    </row>
    <row r="397">
      <c r="A397" s="21" t="n"/>
      <c r="B397" s="21" t="n"/>
      <c r="C397" s="21" t="n"/>
      <c r="D397" s="22" t="n"/>
      <c r="E397" s="21" t="n"/>
      <c r="F397" s="23" t="n"/>
      <c r="G397" s="24" t="n"/>
      <c r="H397" s="25" t="n"/>
      <c r="I397" s="26">
        <f>IF(OR(NOT(ISNUMBER(G397)),N(D397)&lt;=1),"",ROUND(G397/D397,3))</f>
        <v/>
      </c>
      <c r="J397" s="27">
        <f>IF(G397="","",IF(NOT(ISNUMBER(G397)),"Revisa",IF(H397="","Falta IVA",ROUND(G397*(1+H397/100),2))))</f>
        <v/>
      </c>
      <c r="K397" s="27">
        <f>IF(G397="","",IF(NOT(ISNUMBER(G397)),"Revisa",IF(H397="","Falta IVA",ROUND(G397*(1+(H397+IF(H397=21,5.2,IF(H397=10,1.4,IF(H397=4,0.5,0))))/100),2))))</f>
        <v/>
      </c>
      <c r="L397" s="27">
        <f>IF(G397="","",IF(NOT(ISNUMBER(G397)),"Revisa",ROUND(ROUND(G397*(1+N($K$8)/100)/$O$7,0)*$O$7,2)))</f>
        <v/>
      </c>
      <c r="M397" s="27">
        <f>IF(G397="","",IF(NOT(ISNUMBER(G397)),"Revisa",ROUND(ROUND(G397*(1+N($K$9)/100)/$O$7,0)*$O$7,2)))</f>
        <v/>
      </c>
      <c r="N397" s="27">
        <f>IF(G397="","",IF(NOT(ISNUMBER(G397)),"Revisa",ROUND(ROUND(G397*(1+N($K$10)/100)/$O$7,0)*$O$7,2)))</f>
        <v/>
      </c>
      <c r="O397">
        <f>IF(B397="","",MAX($O$12:O396)+1)</f>
        <v/>
      </c>
      <c r="P397">
        <f>IF(AND(B397="",G397&lt;&gt;""),1,0)</f>
        <v/>
      </c>
    </row>
    <row r="398">
      <c r="A398" s="21" t="n"/>
      <c r="B398" s="21" t="n"/>
      <c r="C398" s="21" t="n"/>
      <c r="D398" s="22" t="n"/>
      <c r="E398" s="21" t="n"/>
      <c r="F398" s="23" t="n"/>
      <c r="G398" s="24" t="n"/>
      <c r="H398" s="25" t="n"/>
      <c r="I398" s="26">
        <f>IF(OR(NOT(ISNUMBER(G398)),N(D398)&lt;=1),"",ROUND(G398/D398,3))</f>
        <v/>
      </c>
      <c r="J398" s="27">
        <f>IF(G398="","",IF(NOT(ISNUMBER(G398)),"Revisa",IF(H398="","Falta IVA",ROUND(G398*(1+H398/100),2))))</f>
        <v/>
      </c>
      <c r="K398" s="27">
        <f>IF(G398="","",IF(NOT(ISNUMBER(G398)),"Revisa",IF(H398="","Falta IVA",ROUND(G398*(1+(H398+IF(H398=21,5.2,IF(H398=10,1.4,IF(H398=4,0.5,0))))/100),2))))</f>
        <v/>
      </c>
      <c r="L398" s="27">
        <f>IF(G398="","",IF(NOT(ISNUMBER(G398)),"Revisa",ROUND(ROUND(G398*(1+N($K$8)/100)/$O$7,0)*$O$7,2)))</f>
        <v/>
      </c>
      <c r="M398" s="27">
        <f>IF(G398="","",IF(NOT(ISNUMBER(G398)),"Revisa",ROUND(ROUND(G398*(1+N($K$9)/100)/$O$7,0)*$O$7,2)))</f>
        <v/>
      </c>
      <c r="N398" s="27">
        <f>IF(G398="","",IF(NOT(ISNUMBER(G398)),"Revisa",ROUND(ROUND(G398*(1+N($K$10)/100)/$O$7,0)*$O$7,2)))</f>
        <v/>
      </c>
      <c r="O398">
        <f>IF(B398="","",MAX($O$12:O397)+1)</f>
        <v/>
      </c>
      <c r="P398">
        <f>IF(AND(B398="",G398&lt;&gt;""),1,0)</f>
        <v/>
      </c>
    </row>
    <row r="399">
      <c r="A399" s="21" t="n"/>
      <c r="B399" s="21" t="n"/>
      <c r="C399" s="21" t="n"/>
      <c r="D399" s="22" t="n"/>
      <c r="E399" s="21" t="n"/>
      <c r="F399" s="23" t="n"/>
      <c r="G399" s="24" t="n"/>
      <c r="H399" s="25" t="n"/>
      <c r="I399" s="26">
        <f>IF(OR(NOT(ISNUMBER(G399)),N(D399)&lt;=1),"",ROUND(G399/D399,3))</f>
        <v/>
      </c>
      <c r="J399" s="27">
        <f>IF(G399="","",IF(NOT(ISNUMBER(G399)),"Revisa",IF(H399="","Falta IVA",ROUND(G399*(1+H399/100),2))))</f>
        <v/>
      </c>
      <c r="K399" s="27">
        <f>IF(G399="","",IF(NOT(ISNUMBER(G399)),"Revisa",IF(H399="","Falta IVA",ROUND(G399*(1+(H399+IF(H399=21,5.2,IF(H399=10,1.4,IF(H399=4,0.5,0))))/100),2))))</f>
        <v/>
      </c>
      <c r="L399" s="27">
        <f>IF(G399="","",IF(NOT(ISNUMBER(G399)),"Revisa",ROUND(ROUND(G399*(1+N($K$8)/100)/$O$7,0)*$O$7,2)))</f>
        <v/>
      </c>
      <c r="M399" s="27">
        <f>IF(G399="","",IF(NOT(ISNUMBER(G399)),"Revisa",ROUND(ROUND(G399*(1+N($K$9)/100)/$O$7,0)*$O$7,2)))</f>
        <v/>
      </c>
      <c r="N399" s="27">
        <f>IF(G399="","",IF(NOT(ISNUMBER(G399)),"Revisa",ROUND(ROUND(G399*(1+N($K$10)/100)/$O$7,0)*$O$7,2)))</f>
        <v/>
      </c>
      <c r="O399">
        <f>IF(B399="","",MAX($O$12:O398)+1)</f>
        <v/>
      </c>
      <c r="P399">
        <f>IF(AND(B399="",G399&lt;&gt;""),1,0)</f>
        <v/>
      </c>
    </row>
    <row r="400">
      <c r="A400" s="21" t="n"/>
      <c r="B400" s="21" t="n"/>
      <c r="C400" s="21" t="n"/>
      <c r="D400" s="22" t="n"/>
      <c r="E400" s="21" t="n"/>
      <c r="F400" s="23" t="n"/>
      <c r="G400" s="24" t="n"/>
      <c r="H400" s="25" t="n"/>
      <c r="I400" s="26">
        <f>IF(OR(NOT(ISNUMBER(G400)),N(D400)&lt;=1),"",ROUND(G400/D400,3))</f>
        <v/>
      </c>
      <c r="J400" s="27">
        <f>IF(G400="","",IF(NOT(ISNUMBER(G400)),"Revisa",IF(H400="","Falta IVA",ROUND(G400*(1+H400/100),2))))</f>
        <v/>
      </c>
      <c r="K400" s="27">
        <f>IF(G400="","",IF(NOT(ISNUMBER(G400)),"Revisa",IF(H400="","Falta IVA",ROUND(G400*(1+(H400+IF(H400=21,5.2,IF(H400=10,1.4,IF(H400=4,0.5,0))))/100),2))))</f>
        <v/>
      </c>
      <c r="L400" s="27">
        <f>IF(G400="","",IF(NOT(ISNUMBER(G400)),"Revisa",ROUND(ROUND(G400*(1+N($K$8)/100)/$O$7,0)*$O$7,2)))</f>
        <v/>
      </c>
      <c r="M400" s="27">
        <f>IF(G400="","",IF(NOT(ISNUMBER(G400)),"Revisa",ROUND(ROUND(G400*(1+N($K$9)/100)/$O$7,0)*$O$7,2)))</f>
        <v/>
      </c>
      <c r="N400" s="27">
        <f>IF(G400="","",IF(NOT(ISNUMBER(G400)),"Revisa",ROUND(ROUND(G400*(1+N($K$10)/100)/$O$7,0)*$O$7,2)))</f>
        <v/>
      </c>
      <c r="O400">
        <f>IF(B400="","",MAX($O$12:O399)+1)</f>
        <v/>
      </c>
      <c r="P400">
        <f>IF(AND(B400="",G400&lt;&gt;""),1,0)</f>
        <v/>
      </c>
    </row>
    <row r="401">
      <c r="A401" s="21" t="n"/>
      <c r="B401" s="21" t="n"/>
      <c r="C401" s="21" t="n"/>
      <c r="D401" s="22" t="n"/>
      <c r="E401" s="21" t="n"/>
      <c r="F401" s="23" t="n"/>
      <c r="G401" s="24" t="n"/>
      <c r="H401" s="25" t="n"/>
      <c r="I401" s="26">
        <f>IF(OR(NOT(ISNUMBER(G401)),N(D401)&lt;=1),"",ROUND(G401/D401,3))</f>
        <v/>
      </c>
      <c r="J401" s="27">
        <f>IF(G401="","",IF(NOT(ISNUMBER(G401)),"Revisa",IF(H401="","Falta IVA",ROUND(G401*(1+H401/100),2))))</f>
        <v/>
      </c>
      <c r="K401" s="27">
        <f>IF(G401="","",IF(NOT(ISNUMBER(G401)),"Revisa",IF(H401="","Falta IVA",ROUND(G401*(1+(H401+IF(H401=21,5.2,IF(H401=10,1.4,IF(H401=4,0.5,0))))/100),2))))</f>
        <v/>
      </c>
      <c r="L401" s="27">
        <f>IF(G401="","",IF(NOT(ISNUMBER(G401)),"Revisa",ROUND(ROUND(G401*(1+N($K$8)/100)/$O$7,0)*$O$7,2)))</f>
        <v/>
      </c>
      <c r="M401" s="27">
        <f>IF(G401="","",IF(NOT(ISNUMBER(G401)),"Revisa",ROUND(ROUND(G401*(1+N($K$9)/100)/$O$7,0)*$O$7,2)))</f>
        <v/>
      </c>
      <c r="N401" s="27">
        <f>IF(G401="","",IF(NOT(ISNUMBER(G401)),"Revisa",ROUND(ROUND(G401*(1+N($K$10)/100)/$O$7,0)*$O$7,2)))</f>
        <v/>
      </c>
      <c r="O401">
        <f>IF(B401="","",MAX($O$12:O400)+1)</f>
        <v/>
      </c>
      <c r="P401">
        <f>IF(AND(B401="",G401&lt;&gt;""),1,0)</f>
        <v/>
      </c>
    </row>
    <row r="402">
      <c r="A402" s="21" t="n"/>
      <c r="B402" s="21" t="n"/>
      <c r="C402" s="21" t="n"/>
      <c r="D402" s="22" t="n"/>
      <c r="E402" s="21" t="n"/>
      <c r="F402" s="23" t="n"/>
      <c r="G402" s="24" t="n"/>
      <c r="H402" s="25" t="n"/>
      <c r="I402" s="26">
        <f>IF(OR(NOT(ISNUMBER(G402)),N(D402)&lt;=1),"",ROUND(G402/D402,3))</f>
        <v/>
      </c>
      <c r="J402" s="27">
        <f>IF(G402="","",IF(NOT(ISNUMBER(G402)),"Revisa",IF(H402="","Falta IVA",ROUND(G402*(1+H402/100),2))))</f>
        <v/>
      </c>
      <c r="K402" s="27">
        <f>IF(G402="","",IF(NOT(ISNUMBER(G402)),"Revisa",IF(H402="","Falta IVA",ROUND(G402*(1+(H402+IF(H402=21,5.2,IF(H402=10,1.4,IF(H402=4,0.5,0))))/100),2))))</f>
        <v/>
      </c>
      <c r="L402" s="27">
        <f>IF(G402="","",IF(NOT(ISNUMBER(G402)),"Revisa",ROUND(ROUND(G402*(1+N($K$8)/100)/$O$7,0)*$O$7,2)))</f>
        <v/>
      </c>
      <c r="M402" s="27">
        <f>IF(G402="","",IF(NOT(ISNUMBER(G402)),"Revisa",ROUND(ROUND(G402*(1+N($K$9)/100)/$O$7,0)*$O$7,2)))</f>
        <v/>
      </c>
      <c r="N402" s="27">
        <f>IF(G402="","",IF(NOT(ISNUMBER(G402)),"Revisa",ROUND(ROUND(G402*(1+N($K$10)/100)/$O$7,0)*$O$7,2)))</f>
        <v/>
      </c>
      <c r="O402">
        <f>IF(B402="","",MAX($O$12:O401)+1)</f>
        <v/>
      </c>
      <c r="P402">
        <f>IF(AND(B402="",G402&lt;&gt;""),1,0)</f>
        <v/>
      </c>
    </row>
    <row r="403">
      <c r="A403" s="21" t="n"/>
      <c r="B403" s="21" t="n"/>
      <c r="C403" s="21" t="n"/>
      <c r="D403" s="22" t="n"/>
      <c r="E403" s="21" t="n"/>
      <c r="F403" s="23" t="n"/>
      <c r="G403" s="24" t="n"/>
      <c r="H403" s="25" t="n"/>
      <c r="I403" s="26">
        <f>IF(OR(NOT(ISNUMBER(G403)),N(D403)&lt;=1),"",ROUND(G403/D403,3))</f>
        <v/>
      </c>
      <c r="J403" s="27">
        <f>IF(G403="","",IF(NOT(ISNUMBER(G403)),"Revisa",IF(H403="","Falta IVA",ROUND(G403*(1+H403/100),2))))</f>
        <v/>
      </c>
      <c r="K403" s="27">
        <f>IF(G403="","",IF(NOT(ISNUMBER(G403)),"Revisa",IF(H403="","Falta IVA",ROUND(G403*(1+(H403+IF(H403=21,5.2,IF(H403=10,1.4,IF(H403=4,0.5,0))))/100),2))))</f>
        <v/>
      </c>
      <c r="L403" s="27">
        <f>IF(G403="","",IF(NOT(ISNUMBER(G403)),"Revisa",ROUND(ROUND(G403*(1+N($K$8)/100)/$O$7,0)*$O$7,2)))</f>
        <v/>
      </c>
      <c r="M403" s="27">
        <f>IF(G403="","",IF(NOT(ISNUMBER(G403)),"Revisa",ROUND(ROUND(G403*(1+N($K$9)/100)/$O$7,0)*$O$7,2)))</f>
        <v/>
      </c>
      <c r="N403" s="27">
        <f>IF(G403="","",IF(NOT(ISNUMBER(G403)),"Revisa",ROUND(ROUND(G403*(1+N($K$10)/100)/$O$7,0)*$O$7,2)))</f>
        <v/>
      </c>
      <c r="O403">
        <f>IF(B403="","",MAX($O$12:O402)+1)</f>
        <v/>
      </c>
      <c r="P403">
        <f>IF(AND(B403="",G403&lt;&gt;""),1,0)</f>
        <v/>
      </c>
    </row>
    <row r="404">
      <c r="A404" s="21" t="n"/>
      <c r="B404" s="21" t="n"/>
      <c r="C404" s="21" t="n"/>
      <c r="D404" s="22" t="n"/>
      <c r="E404" s="21" t="n"/>
      <c r="F404" s="23" t="n"/>
      <c r="G404" s="24" t="n"/>
      <c r="H404" s="25" t="n"/>
      <c r="I404" s="26">
        <f>IF(OR(NOT(ISNUMBER(G404)),N(D404)&lt;=1),"",ROUND(G404/D404,3))</f>
        <v/>
      </c>
      <c r="J404" s="27">
        <f>IF(G404="","",IF(NOT(ISNUMBER(G404)),"Revisa",IF(H404="","Falta IVA",ROUND(G404*(1+H404/100),2))))</f>
        <v/>
      </c>
      <c r="K404" s="27">
        <f>IF(G404="","",IF(NOT(ISNUMBER(G404)),"Revisa",IF(H404="","Falta IVA",ROUND(G404*(1+(H404+IF(H404=21,5.2,IF(H404=10,1.4,IF(H404=4,0.5,0))))/100),2))))</f>
        <v/>
      </c>
      <c r="L404" s="27">
        <f>IF(G404="","",IF(NOT(ISNUMBER(G404)),"Revisa",ROUND(ROUND(G404*(1+N($K$8)/100)/$O$7,0)*$O$7,2)))</f>
        <v/>
      </c>
      <c r="M404" s="27">
        <f>IF(G404="","",IF(NOT(ISNUMBER(G404)),"Revisa",ROUND(ROUND(G404*(1+N($K$9)/100)/$O$7,0)*$O$7,2)))</f>
        <v/>
      </c>
      <c r="N404" s="27">
        <f>IF(G404="","",IF(NOT(ISNUMBER(G404)),"Revisa",ROUND(ROUND(G404*(1+N($K$10)/100)/$O$7,0)*$O$7,2)))</f>
        <v/>
      </c>
      <c r="O404">
        <f>IF(B404="","",MAX($O$12:O403)+1)</f>
        <v/>
      </c>
      <c r="P404">
        <f>IF(AND(B404="",G404&lt;&gt;""),1,0)</f>
        <v/>
      </c>
    </row>
    <row r="405">
      <c r="A405" s="21" t="n"/>
      <c r="B405" s="21" t="n"/>
      <c r="C405" s="21" t="n"/>
      <c r="D405" s="22" t="n"/>
      <c r="E405" s="21" t="n"/>
      <c r="F405" s="23" t="n"/>
      <c r="G405" s="24" t="n"/>
      <c r="H405" s="25" t="n"/>
      <c r="I405" s="26">
        <f>IF(OR(NOT(ISNUMBER(G405)),N(D405)&lt;=1),"",ROUND(G405/D405,3))</f>
        <v/>
      </c>
      <c r="J405" s="27">
        <f>IF(G405="","",IF(NOT(ISNUMBER(G405)),"Revisa",IF(H405="","Falta IVA",ROUND(G405*(1+H405/100),2))))</f>
        <v/>
      </c>
      <c r="K405" s="27">
        <f>IF(G405="","",IF(NOT(ISNUMBER(G405)),"Revisa",IF(H405="","Falta IVA",ROUND(G405*(1+(H405+IF(H405=21,5.2,IF(H405=10,1.4,IF(H405=4,0.5,0))))/100),2))))</f>
        <v/>
      </c>
      <c r="L405" s="27">
        <f>IF(G405="","",IF(NOT(ISNUMBER(G405)),"Revisa",ROUND(ROUND(G405*(1+N($K$8)/100)/$O$7,0)*$O$7,2)))</f>
        <v/>
      </c>
      <c r="M405" s="27">
        <f>IF(G405="","",IF(NOT(ISNUMBER(G405)),"Revisa",ROUND(ROUND(G405*(1+N($K$9)/100)/$O$7,0)*$O$7,2)))</f>
        <v/>
      </c>
      <c r="N405" s="27">
        <f>IF(G405="","",IF(NOT(ISNUMBER(G405)),"Revisa",ROUND(ROUND(G405*(1+N($K$10)/100)/$O$7,0)*$O$7,2)))</f>
        <v/>
      </c>
      <c r="O405">
        <f>IF(B405="","",MAX($O$12:O404)+1)</f>
        <v/>
      </c>
      <c r="P405">
        <f>IF(AND(B405="",G405&lt;&gt;""),1,0)</f>
        <v/>
      </c>
    </row>
    <row r="406">
      <c r="A406" s="21" t="n"/>
      <c r="B406" s="21" t="n"/>
      <c r="C406" s="21" t="n"/>
      <c r="D406" s="22" t="n"/>
      <c r="E406" s="21" t="n"/>
      <c r="F406" s="23" t="n"/>
      <c r="G406" s="24" t="n"/>
      <c r="H406" s="25" t="n"/>
      <c r="I406" s="26">
        <f>IF(OR(NOT(ISNUMBER(G406)),N(D406)&lt;=1),"",ROUND(G406/D406,3))</f>
        <v/>
      </c>
      <c r="J406" s="27">
        <f>IF(G406="","",IF(NOT(ISNUMBER(G406)),"Revisa",IF(H406="","Falta IVA",ROUND(G406*(1+H406/100),2))))</f>
        <v/>
      </c>
      <c r="K406" s="27">
        <f>IF(G406="","",IF(NOT(ISNUMBER(G406)),"Revisa",IF(H406="","Falta IVA",ROUND(G406*(1+(H406+IF(H406=21,5.2,IF(H406=10,1.4,IF(H406=4,0.5,0))))/100),2))))</f>
        <v/>
      </c>
      <c r="L406" s="27">
        <f>IF(G406="","",IF(NOT(ISNUMBER(G406)),"Revisa",ROUND(ROUND(G406*(1+N($K$8)/100)/$O$7,0)*$O$7,2)))</f>
        <v/>
      </c>
      <c r="M406" s="27">
        <f>IF(G406="","",IF(NOT(ISNUMBER(G406)),"Revisa",ROUND(ROUND(G406*(1+N($K$9)/100)/$O$7,0)*$O$7,2)))</f>
        <v/>
      </c>
      <c r="N406" s="27">
        <f>IF(G406="","",IF(NOT(ISNUMBER(G406)),"Revisa",ROUND(ROUND(G406*(1+N($K$10)/100)/$O$7,0)*$O$7,2)))</f>
        <v/>
      </c>
      <c r="O406">
        <f>IF(B406="","",MAX($O$12:O405)+1)</f>
        <v/>
      </c>
      <c r="P406">
        <f>IF(AND(B406="",G406&lt;&gt;""),1,0)</f>
        <v/>
      </c>
    </row>
    <row r="407">
      <c r="A407" s="21" t="n"/>
      <c r="B407" s="21" t="n"/>
      <c r="C407" s="21" t="n"/>
      <c r="D407" s="22" t="n"/>
      <c r="E407" s="21" t="n"/>
      <c r="F407" s="23" t="n"/>
      <c r="G407" s="24" t="n"/>
      <c r="H407" s="25" t="n"/>
      <c r="I407" s="26">
        <f>IF(OR(NOT(ISNUMBER(G407)),N(D407)&lt;=1),"",ROUND(G407/D407,3))</f>
        <v/>
      </c>
      <c r="J407" s="27">
        <f>IF(G407="","",IF(NOT(ISNUMBER(G407)),"Revisa",IF(H407="","Falta IVA",ROUND(G407*(1+H407/100),2))))</f>
        <v/>
      </c>
      <c r="K407" s="27">
        <f>IF(G407="","",IF(NOT(ISNUMBER(G407)),"Revisa",IF(H407="","Falta IVA",ROUND(G407*(1+(H407+IF(H407=21,5.2,IF(H407=10,1.4,IF(H407=4,0.5,0))))/100),2))))</f>
        <v/>
      </c>
      <c r="L407" s="27">
        <f>IF(G407="","",IF(NOT(ISNUMBER(G407)),"Revisa",ROUND(ROUND(G407*(1+N($K$8)/100)/$O$7,0)*$O$7,2)))</f>
        <v/>
      </c>
      <c r="M407" s="27">
        <f>IF(G407="","",IF(NOT(ISNUMBER(G407)),"Revisa",ROUND(ROUND(G407*(1+N($K$9)/100)/$O$7,0)*$O$7,2)))</f>
        <v/>
      </c>
      <c r="N407" s="27">
        <f>IF(G407="","",IF(NOT(ISNUMBER(G407)),"Revisa",ROUND(ROUND(G407*(1+N($K$10)/100)/$O$7,0)*$O$7,2)))</f>
        <v/>
      </c>
      <c r="O407">
        <f>IF(B407="","",MAX($O$12:O406)+1)</f>
        <v/>
      </c>
      <c r="P407">
        <f>IF(AND(B407="",G407&lt;&gt;""),1,0)</f>
        <v/>
      </c>
    </row>
    <row r="408">
      <c r="A408" s="21" t="n"/>
      <c r="B408" s="21" t="n"/>
      <c r="C408" s="21" t="n"/>
      <c r="D408" s="22" t="n"/>
      <c r="E408" s="21" t="n"/>
      <c r="F408" s="23" t="n"/>
      <c r="G408" s="24" t="n"/>
      <c r="H408" s="25" t="n"/>
      <c r="I408" s="26">
        <f>IF(OR(NOT(ISNUMBER(G408)),N(D408)&lt;=1),"",ROUND(G408/D408,3))</f>
        <v/>
      </c>
      <c r="J408" s="27">
        <f>IF(G408="","",IF(NOT(ISNUMBER(G408)),"Revisa",IF(H408="","Falta IVA",ROUND(G408*(1+H408/100),2))))</f>
        <v/>
      </c>
      <c r="K408" s="27">
        <f>IF(G408="","",IF(NOT(ISNUMBER(G408)),"Revisa",IF(H408="","Falta IVA",ROUND(G408*(1+(H408+IF(H408=21,5.2,IF(H408=10,1.4,IF(H408=4,0.5,0))))/100),2))))</f>
        <v/>
      </c>
      <c r="L408" s="27">
        <f>IF(G408="","",IF(NOT(ISNUMBER(G408)),"Revisa",ROUND(ROUND(G408*(1+N($K$8)/100)/$O$7,0)*$O$7,2)))</f>
        <v/>
      </c>
      <c r="M408" s="27">
        <f>IF(G408="","",IF(NOT(ISNUMBER(G408)),"Revisa",ROUND(ROUND(G408*(1+N($K$9)/100)/$O$7,0)*$O$7,2)))</f>
        <v/>
      </c>
      <c r="N408" s="27">
        <f>IF(G408="","",IF(NOT(ISNUMBER(G408)),"Revisa",ROUND(ROUND(G408*(1+N($K$10)/100)/$O$7,0)*$O$7,2)))</f>
        <v/>
      </c>
      <c r="O408">
        <f>IF(B408="","",MAX($O$12:O407)+1)</f>
        <v/>
      </c>
      <c r="P408">
        <f>IF(AND(B408="",G408&lt;&gt;""),1,0)</f>
        <v/>
      </c>
    </row>
    <row r="409">
      <c r="A409" s="21" t="n"/>
      <c r="B409" s="21" t="n"/>
      <c r="C409" s="21" t="n"/>
      <c r="D409" s="22" t="n"/>
      <c r="E409" s="21" t="n"/>
      <c r="F409" s="23" t="n"/>
      <c r="G409" s="24" t="n"/>
      <c r="H409" s="25" t="n"/>
      <c r="I409" s="26">
        <f>IF(OR(NOT(ISNUMBER(G409)),N(D409)&lt;=1),"",ROUND(G409/D409,3))</f>
        <v/>
      </c>
      <c r="J409" s="27">
        <f>IF(G409="","",IF(NOT(ISNUMBER(G409)),"Revisa",IF(H409="","Falta IVA",ROUND(G409*(1+H409/100),2))))</f>
        <v/>
      </c>
      <c r="K409" s="27">
        <f>IF(G409="","",IF(NOT(ISNUMBER(G409)),"Revisa",IF(H409="","Falta IVA",ROUND(G409*(1+(H409+IF(H409=21,5.2,IF(H409=10,1.4,IF(H409=4,0.5,0))))/100),2))))</f>
        <v/>
      </c>
      <c r="L409" s="27">
        <f>IF(G409="","",IF(NOT(ISNUMBER(G409)),"Revisa",ROUND(ROUND(G409*(1+N($K$8)/100)/$O$7,0)*$O$7,2)))</f>
        <v/>
      </c>
      <c r="M409" s="27">
        <f>IF(G409="","",IF(NOT(ISNUMBER(G409)),"Revisa",ROUND(ROUND(G409*(1+N($K$9)/100)/$O$7,0)*$O$7,2)))</f>
        <v/>
      </c>
      <c r="N409" s="27">
        <f>IF(G409="","",IF(NOT(ISNUMBER(G409)),"Revisa",ROUND(ROUND(G409*(1+N($K$10)/100)/$O$7,0)*$O$7,2)))</f>
        <v/>
      </c>
      <c r="O409">
        <f>IF(B409="","",MAX($O$12:O408)+1)</f>
        <v/>
      </c>
      <c r="P409">
        <f>IF(AND(B409="",G409&lt;&gt;""),1,0)</f>
        <v/>
      </c>
    </row>
    <row r="410">
      <c r="A410" s="21" t="n"/>
      <c r="B410" s="21" t="n"/>
      <c r="C410" s="21" t="n"/>
      <c r="D410" s="22" t="n"/>
      <c r="E410" s="21" t="n"/>
      <c r="F410" s="23" t="n"/>
      <c r="G410" s="24" t="n"/>
      <c r="H410" s="25" t="n"/>
      <c r="I410" s="26">
        <f>IF(OR(NOT(ISNUMBER(G410)),N(D410)&lt;=1),"",ROUND(G410/D410,3))</f>
        <v/>
      </c>
      <c r="J410" s="27">
        <f>IF(G410="","",IF(NOT(ISNUMBER(G410)),"Revisa",IF(H410="","Falta IVA",ROUND(G410*(1+H410/100),2))))</f>
        <v/>
      </c>
      <c r="K410" s="27">
        <f>IF(G410="","",IF(NOT(ISNUMBER(G410)),"Revisa",IF(H410="","Falta IVA",ROUND(G410*(1+(H410+IF(H410=21,5.2,IF(H410=10,1.4,IF(H410=4,0.5,0))))/100),2))))</f>
        <v/>
      </c>
      <c r="L410" s="27">
        <f>IF(G410="","",IF(NOT(ISNUMBER(G410)),"Revisa",ROUND(ROUND(G410*(1+N($K$8)/100)/$O$7,0)*$O$7,2)))</f>
        <v/>
      </c>
      <c r="M410" s="27">
        <f>IF(G410="","",IF(NOT(ISNUMBER(G410)),"Revisa",ROUND(ROUND(G410*(1+N($K$9)/100)/$O$7,0)*$O$7,2)))</f>
        <v/>
      </c>
      <c r="N410" s="27">
        <f>IF(G410="","",IF(NOT(ISNUMBER(G410)),"Revisa",ROUND(ROUND(G410*(1+N($K$10)/100)/$O$7,0)*$O$7,2)))</f>
        <v/>
      </c>
      <c r="O410">
        <f>IF(B410="","",MAX($O$12:O409)+1)</f>
        <v/>
      </c>
      <c r="P410">
        <f>IF(AND(B410="",G410&lt;&gt;""),1,0)</f>
        <v/>
      </c>
    </row>
    <row r="411">
      <c r="A411" s="21" t="n"/>
      <c r="B411" s="21" t="n"/>
      <c r="C411" s="21" t="n"/>
      <c r="D411" s="22" t="n"/>
      <c r="E411" s="21" t="n"/>
      <c r="F411" s="23" t="n"/>
      <c r="G411" s="24" t="n"/>
      <c r="H411" s="25" t="n"/>
      <c r="I411" s="26">
        <f>IF(OR(NOT(ISNUMBER(G411)),N(D411)&lt;=1),"",ROUND(G411/D411,3))</f>
        <v/>
      </c>
      <c r="J411" s="27">
        <f>IF(G411="","",IF(NOT(ISNUMBER(G411)),"Revisa",IF(H411="","Falta IVA",ROUND(G411*(1+H411/100),2))))</f>
        <v/>
      </c>
      <c r="K411" s="27">
        <f>IF(G411="","",IF(NOT(ISNUMBER(G411)),"Revisa",IF(H411="","Falta IVA",ROUND(G411*(1+(H411+IF(H411=21,5.2,IF(H411=10,1.4,IF(H411=4,0.5,0))))/100),2))))</f>
        <v/>
      </c>
      <c r="L411" s="27">
        <f>IF(G411="","",IF(NOT(ISNUMBER(G411)),"Revisa",ROUND(ROUND(G411*(1+N($K$8)/100)/$O$7,0)*$O$7,2)))</f>
        <v/>
      </c>
      <c r="M411" s="27">
        <f>IF(G411="","",IF(NOT(ISNUMBER(G411)),"Revisa",ROUND(ROUND(G411*(1+N($K$9)/100)/$O$7,0)*$O$7,2)))</f>
        <v/>
      </c>
      <c r="N411" s="27">
        <f>IF(G411="","",IF(NOT(ISNUMBER(G411)),"Revisa",ROUND(ROUND(G411*(1+N($K$10)/100)/$O$7,0)*$O$7,2)))</f>
        <v/>
      </c>
      <c r="O411">
        <f>IF(B411="","",MAX($O$12:O410)+1)</f>
        <v/>
      </c>
      <c r="P411">
        <f>IF(AND(B411="",G411&lt;&gt;""),1,0)</f>
        <v/>
      </c>
    </row>
    <row r="412">
      <c r="A412" s="21" t="n"/>
      <c r="B412" s="21" t="n"/>
      <c r="C412" s="21" t="n"/>
      <c r="D412" s="22" t="n"/>
      <c r="E412" s="21" t="n"/>
      <c r="F412" s="23" t="n"/>
      <c r="G412" s="24" t="n"/>
      <c r="H412" s="25" t="n"/>
      <c r="I412" s="26">
        <f>IF(OR(NOT(ISNUMBER(G412)),N(D412)&lt;=1),"",ROUND(G412/D412,3))</f>
        <v/>
      </c>
      <c r="J412" s="27">
        <f>IF(G412="","",IF(NOT(ISNUMBER(G412)),"Revisa",IF(H412="","Falta IVA",ROUND(G412*(1+H412/100),2))))</f>
        <v/>
      </c>
      <c r="K412" s="27">
        <f>IF(G412="","",IF(NOT(ISNUMBER(G412)),"Revisa",IF(H412="","Falta IVA",ROUND(G412*(1+(H412+IF(H412=21,5.2,IF(H412=10,1.4,IF(H412=4,0.5,0))))/100),2))))</f>
        <v/>
      </c>
      <c r="L412" s="27">
        <f>IF(G412="","",IF(NOT(ISNUMBER(G412)),"Revisa",ROUND(ROUND(G412*(1+N($K$8)/100)/$O$7,0)*$O$7,2)))</f>
        <v/>
      </c>
      <c r="M412" s="27">
        <f>IF(G412="","",IF(NOT(ISNUMBER(G412)),"Revisa",ROUND(ROUND(G412*(1+N($K$9)/100)/$O$7,0)*$O$7,2)))</f>
        <v/>
      </c>
      <c r="N412" s="27">
        <f>IF(G412="","",IF(NOT(ISNUMBER(G412)),"Revisa",ROUND(ROUND(G412*(1+N($K$10)/100)/$O$7,0)*$O$7,2)))</f>
        <v/>
      </c>
      <c r="O412">
        <f>IF(B412="","",MAX($O$12:O411)+1)</f>
        <v/>
      </c>
      <c r="P412">
        <f>IF(AND(B412="",G412&lt;&gt;""),1,0)</f>
        <v/>
      </c>
    </row>
    <row r="413">
      <c r="A413" s="21" t="n"/>
      <c r="B413" s="21" t="n"/>
      <c r="C413" s="21" t="n"/>
      <c r="D413" s="22" t="n"/>
      <c r="E413" s="21" t="n"/>
      <c r="F413" s="23" t="n"/>
      <c r="G413" s="24" t="n"/>
      <c r="H413" s="25" t="n"/>
      <c r="I413" s="26">
        <f>IF(OR(NOT(ISNUMBER(G413)),N(D413)&lt;=1),"",ROUND(G413/D413,3))</f>
        <v/>
      </c>
      <c r="J413" s="27">
        <f>IF(G413="","",IF(NOT(ISNUMBER(G413)),"Revisa",IF(H413="","Falta IVA",ROUND(G413*(1+H413/100),2))))</f>
        <v/>
      </c>
      <c r="K413" s="27">
        <f>IF(G413="","",IF(NOT(ISNUMBER(G413)),"Revisa",IF(H413="","Falta IVA",ROUND(G413*(1+(H413+IF(H413=21,5.2,IF(H413=10,1.4,IF(H413=4,0.5,0))))/100),2))))</f>
        <v/>
      </c>
      <c r="L413" s="27">
        <f>IF(G413="","",IF(NOT(ISNUMBER(G413)),"Revisa",ROUND(ROUND(G413*(1+N($K$8)/100)/$O$7,0)*$O$7,2)))</f>
        <v/>
      </c>
      <c r="M413" s="27">
        <f>IF(G413="","",IF(NOT(ISNUMBER(G413)),"Revisa",ROUND(ROUND(G413*(1+N($K$9)/100)/$O$7,0)*$O$7,2)))</f>
        <v/>
      </c>
      <c r="N413" s="27">
        <f>IF(G413="","",IF(NOT(ISNUMBER(G413)),"Revisa",ROUND(ROUND(G413*(1+N($K$10)/100)/$O$7,0)*$O$7,2)))</f>
        <v/>
      </c>
      <c r="O413">
        <f>IF(B413="","",MAX($O$12:O412)+1)</f>
        <v/>
      </c>
      <c r="P413">
        <f>IF(AND(B413="",G413&lt;&gt;""),1,0)</f>
        <v/>
      </c>
    </row>
    <row r="414">
      <c r="A414" s="21" t="n"/>
      <c r="B414" s="21" t="n"/>
      <c r="C414" s="21" t="n"/>
      <c r="D414" s="22" t="n"/>
      <c r="E414" s="21" t="n"/>
      <c r="F414" s="23" t="n"/>
      <c r="G414" s="24" t="n"/>
      <c r="H414" s="25" t="n"/>
      <c r="I414" s="26">
        <f>IF(OR(NOT(ISNUMBER(G414)),N(D414)&lt;=1),"",ROUND(G414/D414,3))</f>
        <v/>
      </c>
      <c r="J414" s="27">
        <f>IF(G414="","",IF(NOT(ISNUMBER(G414)),"Revisa",IF(H414="","Falta IVA",ROUND(G414*(1+H414/100),2))))</f>
        <v/>
      </c>
      <c r="K414" s="27">
        <f>IF(G414="","",IF(NOT(ISNUMBER(G414)),"Revisa",IF(H414="","Falta IVA",ROUND(G414*(1+(H414+IF(H414=21,5.2,IF(H414=10,1.4,IF(H414=4,0.5,0))))/100),2))))</f>
        <v/>
      </c>
      <c r="L414" s="27">
        <f>IF(G414="","",IF(NOT(ISNUMBER(G414)),"Revisa",ROUND(ROUND(G414*(1+N($K$8)/100)/$O$7,0)*$O$7,2)))</f>
        <v/>
      </c>
      <c r="M414" s="27">
        <f>IF(G414="","",IF(NOT(ISNUMBER(G414)),"Revisa",ROUND(ROUND(G414*(1+N($K$9)/100)/$O$7,0)*$O$7,2)))</f>
        <v/>
      </c>
      <c r="N414" s="27">
        <f>IF(G414="","",IF(NOT(ISNUMBER(G414)),"Revisa",ROUND(ROUND(G414*(1+N($K$10)/100)/$O$7,0)*$O$7,2)))</f>
        <v/>
      </c>
      <c r="O414">
        <f>IF(B414="","",MAX($O$12:O413)+1)</f>
        <v/>
      </c>
      <c r="P414">
        <f>IF(AND(B414="",G414&lt;&gt;""),1,0)</f>
        <v/>
      </c>
    </row>
    <row r="415">
      <c r="A415" s="21" t="n"/>
      <c r="B415" s="21" t="n"/>
      <c r="C415" s="21" t="n"/>
      <c r="D415" s="22" t="n"/>
      <c r="E415" s="21" t="n"/>
      <c r="F415" s="23" t="n"/>
      <c r="G415" s="24" t="n"/>
      <c r="H415" s="25" t="n"/>
      <c r="I415" s="26">
        <f>IF(OR(NOT(ISNUMBER(G415)),N(D415)&lt;=1),"",ROUND(G415/D415,3))</f>
        <v/>
      </c>
      <c r="J415" s="27">
        <f>IF(G415="","",IF(NOT(ISNUMBER(G415)),"Revisa",IF(H415="","Falta IVA",ROUND(G415*(1+H415/100),2))))</f>
        <v/>
      </c>
      <c r="K415" s="27">
        <f>IF(G415="","",IF(NOT(ISNUMBER(G415)),"Revisa",IF(H415="","Falta IVA",ROUND(G415*(1+(H415+IF(H415=21,5.2,IF(H415=10,1.4,IF(H415=4,0.5,0))))/100),2))))</f>
        <v/>
      </c>
      <c r="L415" s="27">
        <f>IF(G415="","",IF(NOT(ISNUMBER(G415)),"Revisa",ROUND(ROUND(G415*(1+N($K$8)/100)/$O$7,0)*$O$7,2)))</f>
        <v/>
      </c>
      <c r="M415" s="27">
        <f>IF(G415="","",IF(NOT(ISNUMBER(G415)),"Revisa",ROUND(ROUND(G415*(1+N($K$9)/100)/$O$7,0)*$O$7,2)))</f>
        <v/>
      </c>
      <c r="N415" s="27">
        <f>IF(G415="","",IF(NOT(ISNUMBER(G415)),"Revisa",ROUND(ROUND(G415*(1+N($K$10)/100)/$O$7,0)*$O$7,2)))</f>
        <v/>
      </c>
      <c r="O415">
        <f>IF(B415="","",MAX($O$12:O414)+1)</f>
        <v/>
      </c>
      <c r="P415">
        <f>IF(AND(B415="",G415&lt;&gt;""),1,0)</f>
        <v/>
      </c>
    </row>
    <row r="416">
      <c r="A416" s="21" t="n"/>
      <c r="B416" s="21" t="n"/>
      <c r="C416" s="21" t="n"/>
      <c r="D416" s="22" t="n"/>
      <c r="E416" s="21" t="n"/>
      <c r="F416" s="23" t="n"/>
      <c r="G416" s="24" t="n"/>
      <c r="H416" s="25" t="n"/>
      <c r="I416" s="26">
        <f>IF(OR(NOT(ISNUMBER(G416)),N(D416)&lt;=1),"",ROUND(G416/D416,3))</f>
        <v/>
      </c>
      <c r="J416" s="27">
        <f>IF(G416="","",IF(NOT(ISNUMBER(G416)),"Revisa",IF(H416="","Falta IVA",ROUND(G416*(1+H416/100),2))))</f>
        <v/>
      </c>
      <c r="K416" s="27">
        <f>IF(G416="","",IF(NOT(ISNUMBER(G416)),"Revisa",IF(H416="","Falta IVA",ROUND(G416*(1+(H416+IF(H416=21,5.2,IF(H416=10,1.4,IF(H416=4,0.5,0))))/100),2))))</f>
        <v/>
      </c>
      <c r="L416" s="27">
        <f>IF(G416="","",IF(NOT(ISNUMBER(G416)),"Revisa",ROUND(ROUND(G416*(1+N($K$8)/100)/$O$7,0)*$O$7,2)))</f>
        <v/>
      </c>
      <c r="M416" s="27">
        <f>IF(G416="","",IF(NOT(ISNUMBER(G416)),"Revisa",ROUND(ROUND(G416*(1+N($K$9)/100)/$O$7,0)*$O$7,2)))</f>
        <v/>
      </c>
      <c r="N416" s="27">
        <f>IF(G416="","",IF(NOT(ISNUMBER(G416)),"Revisa",ROUND(ROUND(G416*(1+N($K$10)/100)/$O$7,0)*$O$7,2)))</f>
        <v/>
      </c>
      <c r="O416">
        <f>IF(B416="","",MAX($O$12:O415)+1)</f>
        <v/>
      </c>
      <c r="P416">
        <f>IF(AND(B416="",G416&lt;&gt;""),1,0)</f>
        <v/>
      </c>
    </row>
    <row r="417">
      <c r="A417" s="21" t="n"/>
      <c r="B417" s="21" t="n"/>
      <c r="C417" s="21" t="n"/>
      <c r="D417" s="22" t="n"/>
      <c r="E417" s="21" t="n"/>
      <c r="F417" s="23" t="n"/>
      <c r="G417" s="24" t="n"/>
      <c r="H417" s="25" t="n"/>
      <c r="I417" s="26">
        <f>IF(OR(NOT(ISNUMBER(G417)),N(D417)&lt;=1),"",ROUND(G417/D417,3))</f>
        <v/>
      </c>
      <c r="J417" s="27">
        <f>IF(G417="","",IF(NOT(ISNUMBER(G417)),"Revisa",IF(H417="","Falta IVA",ROUND(G417*(1+H417/100),2))))</f>
        <v/>
      </c>
      <c r="K417" s="27">
        <f>IF(G417="","",IF(NOT(ISNUMBER(G417)),"Revisa",IF(H417="","Falta IVA",ROUND(G417*(1+(H417+IF(H417=21,5.2,IF(H417=10,1.4,IF(H417=4,0.5,0))))/100),2))))</f>
        <v/>
      </c>
      <c r="L417" s="27">
        <f>IF(G417="","",IF(NOT(ISNUMBER(G417)),"Revisa",ROUND(ROUND(G417*(1+N($K$8)/100)/$O$7,0)*$O$7,2)))</f>
        <v/>
      </c>
      <c r="M417" s="27">
        <f>IF(G417="","",IF(NOT(ISNUMBER(G417)),"Revisa",ROUND(ROUND(G417*(1+N($K$9)/100)/$O$7,0)*$O$7,2)))</f>
        <v/>
      </c>
      <c r="N417" s="27">
        <f>IF(G417="","",IF(NOT(ISNUMBER(G417)),"Revisa",ROUND(ROUND(G417*(1+N($K$10)/100)/$O$7,0)*$O$7,2)))</f>
        <v/>
      </c>
      <c r="O417">
        <f>IF(B417="","",MAX($O$12:O416)+1)</f>
        <v/>
      </c>
      <c r="P417">
        <f>IF(AND(B417="",G417&lt;&gt;""),1,0)</f>
        <v/>
      </c>
    </row>
    <row r="418">
      <c r="A418" s="21" t="n"/>
      <c r="B418" s="21" t="n"/>
      <c r="C418" s="21" t="n"/>
      <c r="D418" s="22" t="n"/>
      <c r="E418" s="21" t="n"/>
      <c r="F418" s="23" t="n"/>
      <c r="G418" s="24" t="n"/>
      <c r="H418" s="25" t="n"/>
      <c r="I418" s="26">
        <f>IF(OR(NOT(ISNUMBER(G418)),N(D418)&lt;=1),"",ROUND(G418/D418,3))</f>
        <v/>
      </c>
      <c r="J418" s="27">
        <f>IF(G418="","",IF(NOT(ISNUMBER(G418)),"Revisa",IF(H418="","Falta IVA",ROUND(G418*(1+H418/100),2))))</f>
        <v/>
      </c>
      <c r="K418" s="27">
        <f>IF(G418="","",IF(NOT(ISNUMBER(G418)),"Revisa",IF(H418="","Falta IVA",ROUND(G418*(1+(H418+IF(H418=21,5.2,IF(H418=10,1.4,IF(H418=4,0.5,0))))/100),2))))</f>
        <v/>
      </c>
      <c r="L418" s="27">
        <f>IF(G418="","",IF(NOT(ISNUMBER(G418)),"Revisa",ROUND(ROUND(G418*(1+N($K$8)/100)/$O$7,0)*$O$7,2)))</f>
        <v/>
      </c>
      <c r="M418" s="27">
        <f>IF(G418="","",IF(NOT(ISNUMBER(G418)),"Revisa",ROUND(ROUND(G418*(1+N($K$9)/100)/$O$7,0)*$O$7,2)))</f>
        <v/>
      </c>
      <c r="N418" s="27">
        <f>IF(G418="","",IF(NOT(ISNUMBER(G418)),"Revisa",ROUND(ROUND(G418*(1+N($K$10)/100)/$O$7,0)*$O$7,2)))</f>
        <v/>
      </c>
      <c r="O418">
        <f>IF(B418="","",MAX($O$12:O417)+1)</f>
        <v/>
      </c>
      <c r="P418">
        <f>IF(AND(B418="",G418&lt;&gt;""),1,0)</f>
        <v/>
      </c>
    </row>
    <row r="419">
      <c r="A419" s="21" t="n"/>
      <c r="B419" s="21" t="n"/>
      <c r="C419" s="21" t="n"/>
      <c r="D419" s="22" t="n"/>
      <c r="E419" s="21" t="n"/>
      <c r="F419" s="23" t="n"/>
      <c r="G419" s="24" t="n"/>
      <c r="H419" s="25" t="n"/>
      <c r="I419" s="26">
        <f>IF(OR(NOT(ISNUMBER(G419)),N(D419)&lt;=1),"",ROUND(G419/D419,3))</f>
        <v/>
      </c>
      <c r="J419" s="27">
        <f>IF(G419="","",IF(NOT(ISNUMBER(G419)),"Revisa",IF(H419="","Falta IVA",ROUND(G419*(1+H419/100),2))))</f>
        <v/>
      </c>
      <c r="K419" s="27">
        <f>IF(G419="","",IF(NOT(ISNUMBER(G419)),"Revisa",IF(H419="","Falta IVA",ROUND(G419*(1+(H419+IF(H419=21,5.2,IF(H419=10,1.4,IF(H419=4,0.5,0))))/100),2))))</f>
        <v/>
      </c>
      <c r="L419" s="27">
        <f>IF(G419="","",IF(NOT(ISNUMBER(G419)),"Revisa",ROUND(ROUND(G419*(1+N($K$8)/100)/$O$7,0)*$O$7,2)))</f>
        <v/>
      </c>
      <c r="M419" s="27">
        <f>IF(G419="","",IF(NOT(ISNUMBER(G419)),"Revisa",ROUND(ROUND(G419*(1+N($K$9)/100)/$O$7,0)*$O$7,2)))</f>
        <v/>
      </c>
      <c r="N419" s="27">
        <f>IF(G419="","",IF(NOT(ISNUMBER(G419)),"Revisa",ROUND(ROUND(G419*(1+N($K$10)/100)/$O$7,0)*$O$7,2)))</f>
        <v/>
      </c>
      <c r="O419">
        <f>IF(B419="","",MAX($O$12:O418)+1)</f>
        <v/>
      </c>
      <c r="P419">
        <f>IF(AND(B419="",G419&lt;&gt;""),1,0)</f>
        <v/>
      </c>
    </row>
    <row r="420">
      <c r="A420" s="21" t="n"/>
      <c r="B420" s="21" t="n"/>
      <c r="C420" s="21" t="n"/>
      <c r="D420" s="22" t="n"/>
      <c r="E420" s="21" t="n"/>
      <c r="F420" s="23" t="n"/>
      <c r="G420" s="24" t="n"/>
      <c r="H420" s="25" t="n"/>
      <c r="I420" s="26">
        <f>IF(OR(NOT(ISNUMBER(G420)),N(D420)&lt;=1),"",ROUND(G420/D420,3))</f>
        <v/>
      </c>
      <c r="J420" s="27">
        <f>IF(G420="","",IF(NOT(ISNUMBER(G420)),"Revisa",IF(H420="","Falta IVA",ROUND(G420*(1+H420/100),2))))</f>
        <v/>
      </c>
      <c r="K420" s="27">
        <f>IF(G420="","",IF(NOT(ISNUMBER(G420)),"Revisa",IF(H420="","Falta IVA",ROUND(G420*(1+(H420+IF(H420=21,5.2,IF(H420=10,1.4,IF(H420=4,0.5,0))))/100),2))))</f>
        <v/>
      </c>
      <c r="L420" s="27">
        <f>IF(G420="","",IF(NOT(ISNUMBER(G420)),"Revisa",ROUND(ROUND(G420*(1+N($K$8)/100)/$O$7,0)*$O$7,2)))</f>
        <v/>
      </c>
      <c r="M420" s="27">
        <f>IF(G420="","",IF(NOT(ISNUMBER(G420)),"Revisa",ROUND(ROUND(G420*(1+N($K$9)/100)/$O$7,0)*$O$7,2)))</f>
        <v/>
      </c>
      <c r="N420" s="27">
        <f>IF(G420="","",IF(NOT(ISNUMBER(G420)),"Revisa",ROUND(ROUND(G420*(1+N($K$10)/100)/$O$7,0)*$O$7,2)))</f>
        <v/>
      </c>
      <c r="O420">
        <f>IF(B420="","",MAX($O$12:O419)+1)</f>
        <v/>
      </c>
      <c r="P420">
        <f>IF(AND(B420="",G420&lt;&gt;""),1,0)</f>
        <v/>
      </c>
    </row>
    <row r="421">
      <c r="A421" s="21" t="n"/>
      <c r="B421" s="21" t="n"/>
      <c r="C421" s="21" t="n"/>
      <c r="D421" s="22" t="n"/>
      <c r="E421" s="21" t="n"/>
      <c r="F421" s="23" t="n"/>
      <c r="G421" s="24" t="n"/>
      <c r="H421" s="25" t="n"/>
      <c r="I421" s="26">
        <f>IF(OR(NOT(ISNUMBER(G421)),N(D421)&lt;=1),"",ROUND(G421/D421,3))</f>
        <v/>
      </c>
      <c r="J421" s="27">
        <f>IF(G421="","",IF(NOT(ISNUMBER(G421)),"Revisa",IF(H421="","Falta IVA",ROUND(G421*(1+H421/100),2))))</f>
        <v/>
      </c>
      <c r="K421" s="27">
        <f>IF(G421="","",IF(NOT(ISNUMBER(G421)),"Revisa",IF(H421="","Falta IVA",ROUND(G421*(1+(H421+IF(H421=21,5.2,IF(H421=10,1.4,IF(H421=4,0.5,0))))/100),2))))</f>
        <v/>
      </c>
      <c r="L421" s="27">
        <f>IF(G421="","",IF(NOT(ISNUMBER(G421)),"Revisa",ROUND(ROUND(G421*(1+N($K$8)/100)/$O$7,0)*$O$7,2)))</f>
        <v/>
      </c>
      <c r="M421" s="27">
        <f>IF(G421="","",IF(NOT(ISNUMBER(G421)),"Revisa",ROUND(ROUND(G421*(1+N($K$9)/100)/$O$7,0)*$O$7,2)))</f>
        <v/>
      </c>
      <c r="N421" s="27">
        <f>IF(G421="","",IF(NOT(ISNUMBER(G421)),"Revisa",ROUND(ROUND(G421*(1+N($K$10)/100)/$O$7,0)*$O$7,2)))</f>
        <v/>
      </c>
      <c r="O421">
        <f>IF(B421="","",MAX($O$12:O420)+1)</f>
        <v/>
      </c>
      <c r="P421">
        <f>IF(AND(B421="",G421&lt;&gt;""),1,0)</f>
        <v/>
      </c>
    </row>
    <row r="422">
      <c r="A422" s="21" t="n"/>
      <c r="B422" s="21" t="n"/>
      <c r="C422" s="21" t="n"/>
      <c r="D422" s="22" t="n"/>
      <c r="E422" s="21" t="n"/>
      <c r="F422" s="23" t="n"/>
      <c r="G422" s="24" t="n"/>
      <c r="H422" s="25" t="n"/>
      <c r="I422" s="26">
        <f>IF(OR(NOT(ISNUMBER(G422)),N(D422)&lt;=1),"",ROUND(G422/D422,3))</f>
        <v/>
      </c>
      <c r="J422" s="27">
        <f>IF(G422="","",IF(NOT(ISNUMBER(G422)),"Revisa",IF(H422="","Falta IVA",ROUND(G422*(1+H422/100),2))))</f>
        <v/>
      </c>
      <c r="K422" s="27">
        <f>IF(G422="","",IF(NOT(ISNUMBER(G422)),"Revisa",IF(H422="","Falta IVA",ROUND(G422*(1+(H422+IF(H422=21,5.2,IF(H422=10,1.4,IF(H422=4,0.5,0))))/100),2))))</f>
        <v/>
      </c>
      <c r="L422" s="27">
        <f>IF(G422="","",IF(NOT(ISNUMBER(G422)),"Revisa",ROUND(ROUND(G422*(1+N($K$8)/100)/$O$7,0)*$O$7,2)))</f>
        <v/>
      </c>
      <c r="M422" s="27">
        <f>IF(G422="","",IF(NOT(ISNUMBER(G422)),"Revisa",ROUND(ROUND(G422*(1+N($K$9)/100)/$O$7,0)*$O$7,2)))</f>
        <v/>
      </c>
      <c r="N422" s="27">
        <f>IF(G422="","",IF(NOT(ISNUMBER(G422)),"Revisa",ROUND(ROUND(G422*(1+N($K$10)/100)/$O$7,0)*$O$7,2)))</f>
        <v/>
      </c>
      <c r="O422">
        <f>IF(B422="","",MAX($O$12:O421)+1)</f>
        <v/>
      </c>
      <c r="P422">
        <f>IF(AND(B422="",G422&lt;&gt;""),1,0)</f>
        <v/>
      </c>
    </row>
    <row r="423">
      <c r="A423" s="21" t="n"/>
      <c r="B423" s="21" t="n"/>
      <c r="C423" s="21" t="n"/>
      <c r="D423" s="22" t="n"/>
      <c r="E423" s="21" t="n"/>
      <c r="F423" s="23" t="n"/>
      <c r="G423" s="24" t="n"/>
      <c r="H423" s="25" t="n"/>
      <c r="I423" s="26">
        <f>IF(OR(NOT(ISNUMBER(G423)),N(D423)&lt;=1),"",ROUND(G423/D423,3))</f>
        <v/>
      </c>
      <c r="J423" s="27">
        <f>IF(G423="","",IF(NOT(ISNUMBER(G423)),"Revisa",IF(H423="","Falta IVA",ROUND(G423*(1+H423/100),2))))</f>
        <v/>
      </c>
      <c r="K423" s="27">
        <f>IF(G423="","",IF(NOT(ISNUMBER(G423)),"Revisa",IF(H423="","Falta IVA",ROUND(G423*(1+(H423+IF(H423=21,5.2,IF(H423=10,1.4,IF(H423=4,0.5,0))))/100),2))))</f>
        <v/>
      </c>
      <c r="L423" s="27">
        <f>IF(G423="","",IF(NOT(ISNUMBER(G423)),"Revisa",ROUND(ROUND(G423*(1+N($K$8)/100)/$O$7,0)*$O$7,2)))</f>
        <v/>
      </c>
      <c r="M423" s="27">
        <f>IF(G423="","",IF(NOT(ISNUMBER(G423)),"Revisa",ROUND(ROUND(G423*(1+N($K$9)/100)/$O$7,0)*$O$7,2)))</f>
        <v/>
      </c>
      <c r="N423" s="27">
        <f>IF(G423="","",IF(NOT(ISNUMBER(G423)),"Revisa",ROUND(ROUND(G423*(1+N($K$10)/100)/$O$7,0)*$O$7,2)))</f>
        <v/>
      </c>
      <c r="O423">
        <f>IF(B423="","",MAX($O$12:O422)+1)</f>
        <v/>
      </c>
      <c r="P423">
        <f>IF(AND(B423="",G423&lt;&gt;""),1,0)</f>
        <v/>
      </c>
    </row>
    <row r="424">
      <c r="A424" s="21" t="n"/>
      <c r="B424" s="21" t="n"/>
      <c r="C424" s="21" t="n"/>
      <c r="D424" s="22" t="n"/>
      <c r="E424" s="21" t="n"/>
      <c r="F424" s="23" t="n"/>
      <c r="G424" s="24" t="n"/>
      <c r="H424" s="25" t="n"/>
      <c r="I424" s="26">
        <f>IF(OR(NOT(ISNUMBER(G424)),N(D424)&lt;=1),"",ROUND(G424/D424,3))</f>
        <v/>
      </c>
      <c r="J424" s="27">
        <f>IF(G424="","",IF(NOT(ISNUMBER(G424)),"Revisa",IF(H424="","Falta IVA",ROUND(G424*(1+H424/100),2))))</f>
        <v/>
      </c>
      <c r="K424" s="27">
        <f>IF(G424="","",IF(NOT(ISNUMBER(G424)),"Revisa",IF(H424="","Falta IVA",ROUND(G424*(1+(H424+IF(H424=21,5.2,IF(H424=10,1.4,IF(H424=4,0.5,0))))/100),2))))</f>
        <v/>
      </c>
      <c r="L424" s="27">
        <f>IF(G424="","",IF(NOT(ISNUMBER(G424)),"Revisa",ROUND(ROUND(G424*(1+N($K$8)/100)/$O$7,0)*$O$7,2)))</f>
        <v/>
      </c>
      <c r="M424" s="27">
        <f>IF(G424="","",IF(NOT(ISNUMBER(G424)),"Revisa",ROUND(ROUND(G424*(1+N($K$9)/100)/$O$7,0)*$O$7,2)))</f>
        <v/>
      </c>
      <c r="N424" s="27">
        <f>IF(G424="","",IF(NOT(ISNUMBER(G424)),"Revisa",ROUND(ROUND(G424*(1+N($K$10)/100)/$O$7,0)*$O$7,2)))</f>
        <v/>
      </c>
      <c r="O424">
        <f>IF(B424="","",MAX($O$12:O423)+1)</f>
        <v/>
      </c>
      <c r="P424">
        <f>IF(AND(B424="",G424&lt;&gt;""),1,0)</f>
        <v/>
      </c>
    </row>
    <row r="425">
      <c r="A425" s="21" t="n"/>
      <c r="B425" s="21" t="n"/>
      <c r="C425" s="21" t="n"/>
      <c r="D425" s="22" t="n"/>
      <c r="E425" s="21" t="n"/>
      <c r="F425" s="23" t="n"/>
      <c r="G425" s="24" t="n"/>
      <c r="H425" s="25" t="n"/>
      <c r="I425" s="26">
        <f>IF(OR(NOT(ISNUMBER(G425)),N(D425)&lt;=1),"",ROUND(G425/D425,3))</f>
        <v/>
      </c>
      <c r="J425" s="27">
        <f>IF(G425="","",IF(NOT(ISNUMBER(G425)),"Revisa",IF(H425="","Falta IVA",ROUND(G425*(1+H425/100),2))))</f>
        <v/>
      </c>
      <c r="K425" s="27">
        <f>IF(G425="","",IF(NOT(ISNUMBER(G425)),"Revisa",IF(H425="","Falta IVA",ROUND(G425*(1+(H425+IF(H425=21,5.2,IF(H425=10,1.4,IF(H425=4,0.5,0))))/100),2))))</f>
        <v/>
      </c>
      <c r="L425" s="27">
        <f>IF(G425="","",IF(NOT(ISNUMBER(G425)),"Revisa",ROUND(ROUND(G425*(1+N($K$8)/100)/$O$7,0)*$O$7,2)))</f>
        <v/>
      </c>
      <c r="M425" s="27">
        <f>IF(G425="","",IF(NOT(ISNUMBER(G425)),"Revisa",ROUND(ROUND(G425*(1+N($K$9)/100)/$O$7,0)*$O$7,2)))</f>
        <v/>
      </c>
      <c r="N425" s="27">
        <f>IF(G425="","",IF(NOT(ISNUMBER(G425)),"Revisa",ROUND(ROUND(G425*(1+N($K$10)/100)/$O$7,0)*$O$7,2)))</f>
        <v/>
      </c>
      <c r="O425">
        <f>IF(B425="","",MAX($O$12:O424)+1)</f>
        <v/>
      </c>
      <c r="P425">
        <f>IF(AND(B425="",G425&lt;&gt;""),1,0)</f>
        <v/>
      </c>
    </row>
    <row r="426">
      <c r="A426" s="21" t="n"/>
      <c r="B426" s="21" t="n"/>
      <c r="C426" s="21" t="n"/>
      <c r="D426" s="22" t="n"/>
      <c r="E426" s="21" t="n"/>
      <c r="F426" s="23" t="n"/>
      <c r="G426" s="24" t="n"/>
      <c r="H426" s="25" t="n"/>
      <c r="I426" s="26">
        <f>IF(OR(NOT(ISNUMBER(G426)),N(D426)&lt;=1),"",ROUND(G426/D426,3))</f>
        <v/>
      </c>
      <c r="J426" s="27">
        <f>IF(G426="","",IF(NOT(ISNUMBER(G426)),"Revisa",IF(H426="","Falta IVA",ROUND(G426*(1+H426/100),2))))</f>
        <v/>
      </c>
      <c r="K426" s="27">
        <f>IF(G426="","",IF(NOT(ISNUMBER(G426)),"Revisa",IF(H426="","Falta IVA",ROUND(G426*(1+(H426+IF(H426=21,5.2,IF(H426=10,1.4,IF(H426=4,0.5,0))))/100),2))))</f>
        <v/>
      </c>
      <c r="L426" s="27">
        <f>IF(G426="","",IF(NOT(ISNUMBER(G426)),"Revisa",ROUND(ROUND(G426*(1+N($K$8)/100)/$O$7,0)*$O$7,2)))</f>
        <v/>
      </c>
      <c r="M426" s="27">
        <f>IF(G426="","",IF(NOT(ISNUMBER(G426)),"Revisa",ROUND(ROUND(G426*(1+N($K$9)/100)/$O$7,0)*$O$7,2)))</f>
        <v/>
      </c>
      <c r="N426" s="27">
        <f>IF(G426="","",IF(NOT(ISNUMBER(G426)),"Revisa",ROUND(ROUND(G426*(1+N($K$10)/100)/$O$7,0)*$O$7,2)))</f>
        <v/>
      </c>
      <c r="O426">
        <f>IF(B426="","",MAX($O$12:O425)+1)</f>
        <v/>
      </c>
      <c r="P426">
        <f>IF(AND(B426="",G426&lt;&gt;""),1,0)</f>
        <v/>
      </c>
    </row>
    <row r="427">
      <c r="A427" s="21" t="n"/>
      <c r="B427" s="21" t="n"/>
      <c r="C427" s="21" t="n"/>
      <c r="D427" s="22" t="n"/>
      <c r="E427" s="21" t="n"/>
      <c r="F427" s="23" t="n"/>
      <c r="G427" s="24" t="n"/>
      <c r="H427" s="25" t="n"/>
      <c r="I427" s="26">
        <f>IF(OR(NOT(ISNUMBER(G427)),N(D427)&lt;=1),"",ROUND(G427/D427,3))</f>
        <v/>
      </c>
      <c r="J427" s="27">
        <f>IF(G427="","",IF(NOT(ISNUMBER(G427)),"Revisa",IF(H427="","Falta IVA",ROUND(G427*(1+H427/100),2))))</f>
        <v/>
      </c>
      <c r="K427" s="27">
        <f>IF(G427="","",IF(NOT(ISNUMBER(G427)),"Revisa",IF(H427="","Falta IVA",ROUND(G427*(1+(H427+IF(H427=21,5.2,IF(H427=10,1.4,IF(H427=4,0.5,0))))/100),2))))</f>
        <v/>
      </c>
      <c r="L427" s="27">
        <f>IF(G427="","",IF(NOT(ISNUMBER(G427)),"Revisa",ROUND(ROUND(G427*(1+N($K$8)/100)/$O$7,0)*$O$7,2)))</f>
        <v/>
      </c>
      <c r="M427" s="27">
        <f>IF(G427="","",IF(NOT(ISNUMBER(G427)),"Revisa",ROUND(ROUND(G427*(1+N($K$9)/100)/$O$7,0)*$O$7,2)))</f>
        <v/>
      </c>
      <c r="N427" s="27">
        <f>IF(G427="","",IF(NOT(ISNUMBER(G427)),"Revisa",ROUND(ROUND(G427*(1+N($K$10)/100)/$O$7,0)*$O$7,2)))</f>
        <v/>
      </c>
      <c r="O427">
        <f>IF(B427="","",MAX($O$12:O426)+1)</f>
        <v/>
      </c>
      <c r="P427">
        <f>IF(AND(B427="",G427&lt;&gt;""),1,0)</f>
        <v/>
      </c>
    </row>
    <row r="428">
      <c r="A428" s="21" t="n"/>
      <c r="B428" s="21" t="n"/>
      <c r="C428" s="21" t="n"/>
      <c r="D428" s="22" t="n"/>
      <c r="E428" s="21" t="n"/>
      <c r="F428" s="23" t="n"/>
      <c r="G428" s="24" t="n"/>
      <c r="H428" s="25" t="n"/>
      <c r="I428" s="26">
        <f>IF(OR(NOT(ISNUMBER(G428)),N(D428)&lt;=1),"",ROUND(G428/D428,3))</f>
        <v/>
      </c>
      <c r="J428" s="27">
        <f>IF(G428="","",IF(NOT(ISNUMBER(G428)),"Revisa",IF(H428="","Falta IVA",ROUND(G428*(1+H428/100),2))))</f>
        <v/>
      </c>
      <c r="K428" s="27">
        <f>IF(G428="","",IF(NOT(ISNUMBER(G428)),"Revisa",IF(H428="","Falta IVA",ROUND(G428*(1+(H428+IF(H428=21,5.2,IF(H428=10,1.4,IF(H428=4,0.5,0))))/100),2))))</f>
        <v/>
      </c>
      <c r="L428" s="27">
        <f>IF(G428="","",IF(NOT(ISNUMBER(G428)),"Revisa",ROUND(ROUND(G428*(1+N($K$8)/100)/$O$7,0)*$O$7,2)))</f>
        <v/>
      </c>
      <c r="M428" s="27">
        <f>IF(G428="","",IF(NOT(ISNUMBER(G428)),"Revisa",ROUND(ROUND(G428*(1+N($K$9)/100)/$O$7,0)*$O$7,2)))</f>
        <v/>
      </c>
      <c r="N428" s="27">
        <f>IF(G428="","",IF(NOT(ISNUMBER(G428)),"Revisa",ROUND(ROUND(G428*(1+N($K$10)/100)/$O$7,0)*$O$7,2)))</f>
        <v/>
      </c>
      <c r="O428">
        <f>IF(B428="","",MAX($O$12:O427)+1)</f>
        <v/>
      </c>
      <c r="P428">
        <f>IF(AND(B428="",G428&lt;&gt;""),1,0)</f>
        <v/>
      </c>
    </row>
    <row r="429">
      <c r="A429" s="21" t="n"/>
      <c r="B429" s="21" t="n"/>
      <c r="C429" s="21" t="n"/>
      <c r="D429" s="22" t="n"/>
      <c r="E429" s="21" t="n"/>
      <c r="F429" s="23" t="n"/>
      <c r="G429" s="24" t="n"/>
      <c r="H429" s="25" t="n"/>
      <c r="I429" s="26">
        <f>IF(OR(NOT(ISNUMBER(G429)),N(D429)&lt;=1),"",ROUND(G429/D429,3))</f>
        <v/>
      </c>
      <c r="J429" s="27">
        <f>IF(G429="","",IF(NOT(ISNUMBER(G429)),"Revisa",IF(H429="","Falta IVA",ROUND(G429*(1+H429/100),2))))</f>
        <v/>
      </c>
      <c r="K429" s="27">
        <f>IF(G429="","",IF(NOT(ISNUMBER(G429)),"Revisa",IF(H429="","Falta IVA",ROUND(G429*(1+(H429+IF(H429=21,5.2,IF(H429=10,1.4,IF(H429=4,0.5,0))))/100),2))))</f>
        <v/>
      </c>
      <c r="L429" s="27">
        <f>IF(G429="","",IF(NOT(ISNUMBER(G429)),"Revisa",ROUND(ROUND(G429*(1+N($K$8)/100)/$O$7,0)*$O$7,2)))</f>
        <v/>
      </c>
      <c r="M429" s="27">
        <f>IF(G429="","",IF(NOT(ISNUMBER(G429)),"Revisa",ROUND(ROUND(G429*(1+N($K$9)/100)/$O$7,0)*$O$7,2)))</f>
        <v/>
      </c>
      <c r="N429" s="27">
        <f>IF(G429="","",IF(NOT(ISNUMBER(G429)),"Revisa",ROUND(ROUND(G429*(1+N($K$10)/100)/$O$7,0)*$O$7,2)))</f>
        <v/>
      </c>
      <c r="O429">
        <f>IF(B429="","",MAX($O$12:O428)+1)</f>
        <v/>
      </c>
      <c r="P429">
        <f>IF(AND(B429="",G429&lt;&gt;""),1,0)</f>
        <v/>
      </c>
    </row>
    <row r="430">
      <c r="A430" s="21" t="n"/>
      <c r="B430" s="21" t="n"/>
      <c r="C430" s="21" t="n"/>
      <c r="D430" s="22" t="n"/>
      <c r="E430" s="21" t="n"/>
      <c r="F430" s="23" t="n"/>
      <c r="G430" s="24" t="n"/>
      <c r="H430" s="25" t="n"/>
      <c r="I430" s="26">
        <f>IF(OR(NOT(ISNUMBER(G430)),N(D430)&lt;=1),"",ROUND(G430/D430,3))</f>
        <v/>
      </c>
      <c r="J430" s="27">
        <f>IF(G430="","",IF(NOT(ISNUMBER(G430)),"Revisa",IF(H430="","Falta IVA",ROUND(G430*(1+H430/100),2))))</f>
        <v/>
      </c>
      <c r="K430" s="27">
        <f>IF(G430="","",IF(NOT(ISNUMBER(G430)),"Revisa",IF(H430="","Falta IVA",ROUND(G430*(1+(H430+IF(H430=21,5.2,IF(H430=10,1.4,IF(H430=4,0.5,0))))/100),2))))</f>
        <v/>
      </c>
      <c r="L430" s="27">
        <f>IF(G430="","",IF(NOT(ISNUMBER(G430)),"Revisa",ROUND(ROUND(G430*(1+N($K$8)/100)/$O$7,0)*$O$7,2)))</f>
        <v/>
      </c>
      <c r="M430" s="27">
        <f>IF(G430="","",IF(NOT(ISNUMBER(G430)),"Revisa",ROUND(ROUND(G430*(1+N($K$9)/100)/$O$7,0)*$O$7,2)))</f>
        <v/>
      </c>
      <c r="N430" s="27">
        <f>IF(G430="","",IF(NOT(ISNUMBER(G430)),"Revisa",ROUND(ROUND(G430*(1+N($K$10)/100)/$O$7,0)*$O$7,2)))</f>
        <v/>
      </c>
      <c r="O430">
        <f>IF(B430="","",MAX($O$12:O429)+1)</f>
        <v/>
      </c>
      <c r="P430">
        <f>IF(AND(B430="",G430&lt;&gt;""),1,0)</f>
        <v/>
      </c>
    </row>
    <row r="431">
      <c r="A431" s="21" t="n"/>
      <c r="B431" s="21" t="n"/>
      <c r="C431" s="21" t="n"/>
      <c r="D431" s="22" t="n"/>
      <c r="E431" s="21" t="n"/>
      <c r="F431" s="23" t="n"/>
      <c r="G431" s="24" t="n"/>
      <c r="H431" s="25" t="n"/>
      <c r="I431" s="26">
        <f>IF(OR(NOT(ISNUMBER(G431)),N(D431)&lt;=1),"",ROUND(G431/D431,3))</f>
        <v/>
      </c>
      <c r="J431" s="27">
        <f>IF(G431="","",IF(NOT(ISNUMBER(G431)),"Revisa",IF(H431="","Falta IVA",ROUND(G431*(1+H431/100),2))))</f>
        <v/>
      </c>
      <c r="K431" s="27">
        <f>IF(G431="","",IF(NOT(ISNUMBER(G431)),"Revisa",IF(H431="","Falta IVA",ROUND(G431*(1+(H431+IF(H431=21,5.2,IF(H431=10,1.4,IF(H431=4,0.5,0))))/100),2))))</f>
        <v/>
      </c>
      <c r="L431" s="27">
        <f>IF(G431="","",IF(NOT(ISNUMBER(G431)),"Revisa",ROUND(ROUND(G431*(1+N($K$8)/100)/$O$7,0)*$O$7,2)))</f>
        <v/>
      </c>
      <c r="M431" s="27">
        <f>IF(G431="","",IF(NOT(ISNUMBER(G431)),"Revisa",ROUND(ROUND(G431*(1+N($K$9)/100)/$O$7,0)*$O$7,2)))</f>
        <v/>
      </c>
      <c r="N431" s="27">
        <f>IF(G431="","",IF(NOT(ISNUMBER(G431)),"Revisa",ROUND(ROUND(G431*(1+N($K$10)/100)/$O$7,0)*$O$7,2)))</f>
        <v/>
      </c>
      <c r="O431">
        <f>IF(B431="","",MAX($O$12:O430)+1)</f>
        <v/>
      </c>
      <c r="P431">
        <f>IF(AND(B431="",G431&lt;&gt;""),1,0)</f>
        <v/>
      </c>
    </row>
    <row r="432">
      <c r="A432" s="21" t="n"/>
      <c r="B432" s="21" t="n"/>
      <c r="C432" s="21" t="n"/>
      <c r="D432" s="22" t="n"/>
      <c r="E432" s="21" t="n"/>
      <c r="F432" s="23" t="n"/>
      <c r="G432" s="24" t="n"/>
      <c r="H432" s="25" t="n"/>
      <c r="I432" s="26">
        <f>IF(OR(NOT(ISNUMBER(G432)),N(D432)&lt;=1),"",ROUND(G432/D432,3))</f>
        <v/>
      </c>
      <c r="J432" s="27">
        <f>IF(G432="","",IF(NOT(ISNUMBER(G432)),"Revisa",IF(H432="","Falta IVA",ROUND(G432*(1+H432/100),2))))</f>
        <v/>
      </c>
      <c r="K432" s="27">
        <f>IF(G432="","",IF(NOT(ISNUMBER(G432)),"Revisa",IF(H432="","Falta IVA",ROUND(G432*(1+(H432+IF(H432=21,5.2,IF(H432=10,1.4,IF(H432=4,0.5,0))))/100),2))))</f>
        <v/>
      </c>
      <c r="L432" s="27">
        <f>IF(G432="","",IF(NOT(ISNUMBER(G432)),"Revisa",ROUND(ROUND(G432*(1+N($K$8)/100)/$O$7,0)*$O$7,2)))</f>
        <v/>
      </c>
      <c r="M432" s="27">
        <f>IF(G432="","",IF(NOT(ISNUMBER(G432)),"Revisa",ROUND(ROUND(G432*(1+N($K$9)/100)/$O$7,0)*$O$7,2)))</f>
        <v/>
      </c>
      <c r="N432" s="27">
        <f>IF(G432="","",IF(NOT(ISNUMBER(G432)),"Revisa",ROUND(ROUND(G432*(1+N($K$10)/100)/$O$7,0)*$O$7,2)))</f>
        <v/>
      </c>
      <c r="O432">
        <f>IF(B432="","",MAX($O$12:O431)+1)</f>
        <v/>
      </c>
      <c r="P432">
        <f>IF(AND(B432="",G432&lt;&gt;""),1,0)</f>
        <v/>
      </c>
    </row>
    <row r="433">
      <c r="A433" s="21" t="n"/>
      <c r="B433" s="21" t="n"/>
      <c r="C433" s="21" t="n"/>
      <c r="D433" s="22" t="n"/>
      <c r="E433" s="21" t="n"/>
      <c r="F433" s="23" t="n"/>
      <c r="G433" s="24" t="n"/>
      <c r="H433" s="25" t="n"/>
      <c r="I433" s="26">
        <f>IF(OR(NOT(ISNUMBER(G433)),N(D433)&lt;=1),"",ROUND(G433/D433,3))</f>
        <v/>
      </c>
      <c r="J433" s="27">
        <f>IF(G433="","",IF(NOT(ISNUMBER(G433)),"Revisa",IF(H433="","Falta IVA",ROUND(G433*(1+H433/100),2))))</f>
        <v/>
      </c>
      <c r="K433" s="27">
        <f>IF(G433="","",IF(NOT(ISNUMBER(G433)),"Revisa",IF(H433="","Falta IVA",ROUND(G433*(1+(H433+IF(H433=21,5.2,IF(H433=10,1.4,IF(H433=4,0.5,0))))/100),2))))</f>
        <v/>
      </c>
      <c r="L433" s="27">
        <f>IF(G433="","",IF(NOT(ISNUMBER(G433)),"Revisa",ROUND(ROUND(G433*(1+N($K$8)/100)/$O$7,0)*$O$7,2)))</f>
        <v/>
      </c>
      <c r="M433" s="27">
        <f>IF(G433="","",IF(NOT(ISNUMBER(G433)),"Revisa",ROUND(ROUND(G433*(1+N($K$9)/100)/$O$7,0)*$O$7,2)))</f>
        <v/>
      </c>
      <c r="N433" s="27">
        <f>IF(G433="","",IF(NOT(ISNUMBER(G433)),"Revisa",ROUND(ROUND(G433*(1+N($K$10)/100)/$O$7,0)*$O$7,2)))</f>
        <v/>
      </c>
      <c r="O433">
        <f>IF(B433="","",MAX($O$12:O432)+1)</f>
        <v/>
      </c>
      <c r="P433">
        <f>IF(AND(B433="",G433&lt;&gt;""),1,0)</f>
        <v/>
      </c>
    </row>
    <row r="434">
      <c r="A434" s="21" t="n"/>
      <c r="B434" s="21" t="n"/>
      <c r="C434" s="21" t="n"/>
      <c r="D434" s="22" t="n"/>
      <c r="E434" s="21" t="n"/>
      <c r="F434" s="23" t="n"/>
      <c r="G434" s="24" t="n"/>
      <c r="H434" s="25" t="n"/>
      <c r="I434" s="26">
        <f>IF(OR(NOT(ISNUMBER(G434)),N(D434)&lt;=1),"",ROUND(G434/D434,3))</f>
        <v/>
      </c>
      <c r="J434" s="27">
        <f>IF(G434="","",IF(NOT(ISNUMBER(G434)),"Revisa",IF(H434="","Falta IVA",ROUND(G434*(1+H434/100),2))))</f>
        <v/>
      </c>
      <c r="K434" s="27">
        <f>IF(G434="","",IF(NOT(ISNUMBER(G434)),"Revisa",IF(H434="","Falta IVA",ROUND(G434*(1+(H434+IF(H434=21,5.2,IF(H434=10,1.4,IF(H434=4,0.5,0))))/100),2))))</f>
        <v/>
      </c>
      <c r="L434" s="27">
        <f>IF(G434="","",IF(NOT(ISNUMBER(G434)),"Revisa",ROUND(ROUND(G434*(1+N($K$8)/100)/$O$7,0)*$O$7,2)))</f>
        <v/>
      </c>
      <c r="M434" s="27">
        <f>IF(G434="","",IF(NOT(ISNUMBER(G434)),"Revisa",ROUND(ROUND(G434*(1+N($K$9)/100)/$O$7,0)*$O$7,2)))</f>
        <v/>
      </c>
      <c r="N434" s="27">
        <f>IF(G434="","",IF(NOT(ISNUMBER(G434)),"Revisa",ROUND(ROUND(G434*(1+N($K$10)/100)/$O$7,0)*$O$7,2)))</f>
        <v/>
      </c>
      <c r="O434">
        <f>IF(B434="","",MAX($O$12:O433)+1)</f>
        <v/>
      </c>
      <c r="P434">
        <f>IF(AND(B434="",G434&lt;&gt;""),1,0)</f>
        <v/>
      </c>
    </row>
    <row r="435">
      <c r="A435" s="21" t="n"/>
      <c r="B435" s="21" t="n"/>
      <c r="C435" s="21" t="n"/>
      <c r="D435" s="22" t="n"/>
      <c r="E435" s="21" t="n"/>
      <c r="F435" s="23" t="n"/>
      <c r="G435" s="24" t="n"/>
      <c r="H435" s="25" t="n"/>
      <c r="I435" s="26">
        <f>IF(OR(NOT(ISNUMBER(G435)),N(D435)&lt;=1),"",ROUND(G435/D435,3))</f>
        <v/>
      </c>
      <c r="J435" s="27">
        <f>IF(G435="","",IF(NOT(ISNUMBER(G435)),"Revisa",IF(H435="","Falta IVA",ROUND(G435*(1+H435/100),2))))</f>
        <v/>
      </c>
      <c r="K435" s="27">
        <f>IF(G435="","",IF(NOT(ISNUMBER(G435)),"Revisa",IF(H435="","Falta IVA",ROUND(G435*(1+(H435+IF(H435=21,5.2,IF(H435=10,1.4,IF(H435=4,0.5,0))))/100),2))))</f>
        <v/>
      </c>
      <c r="L435" s="27">
        <f>IF(G435="","",IF(NOT(ISNUMBER(G435)),"Revisa",ROUND(ROUND(G435*(1+N($K$8)/100)/$O$7,0)*$O$7,2)))</f>
        <v/>
      </c>
      <c r="M435" s="27">
        <f>IF(G435="","",IF(NOT(ISNUMBER(G435)),"Revisa",ROUND(ROUND(G435*(1+N($K$9)/100)/$O$7,0)*$O$7,2)))</f>
        <v/>
      </c>
      <c r="N435" s="27">
        <f>IF(G435="","",IF(NOT(ISNUMBER(G435)),"Revisa",ROUND(ROUND(G435*(1+N($K$10)/100)/$O$7,0)*$O$7,2)))</f>
        <v/>
      </c>
      <c r="O435">
        <f>IF(B435="","",MAX($O$12:O434)+1)</f>
        <v/>
      </c>
      <c r="P435">
        <f>IF(AND(B435="",G435&lt;&gt;""),1,0)</f>
        <v/>
      </c>
    </row>
    <row r="436">
      <c r="A436" s="21" t="n"/>
      <c r="B436" s="21" t="n"/>
      <c r="C436" s="21" t="n"/>
      <c r="D436" s="22" t="n"/>
      <c r="E436" s="21" t="n"/>
      <c r="F436" s="23" t="n"/>
      <c r="G436" s="24" t="n"/>
      <c r="H436" s="25" t="n"/>
      <c r="I436" s="26">
        <f>IF(OR(NOT(ISNUMBER(G436)),N(D436)&lt;=1),"",ROUND(G436/D436,3))</f>
        <v/>
      </c>
      <c r="J436" s="27">
        <f>IF(G436="","",IF(NOT(ISNUMBER(G436)),"Revisa",IF(H436="","Falta IVA",ROUND(G436*(1+H436/100),2))))</f>
        <v/>
      </c>
      <c r="K436" s="27">
        <f>IF(G436="","",IF(NOT(ISNUMBER(G436)),"Revisa",IF(H436="","Falta IVA",ROUND(G436*(1+(H436+IF(H436=21,5.2,IF(H436=10,1.4,IF(H436=4,0.5,0))))/100),2))))</f>
        <v/>
      </c>
      <c r="L436" s="27">
        <f>IF(G436="","",IF(NOT(ISNUMBER(G436)),"Revisa",ROUND(ROUND(G436*(1+N($K$8)/100)/$O$7,0)*$O$7,2)))</f>
        <v/>
      </c>
      <c r="M436" s="27">
        <f>IF(G436="","",IF(NOT(ISNUMBER(G436)),"Revisa",ROUND(ROUND(G436*(1+N($K$9)/100)/$O$7,0)*$O$7,2)))</f>
        <v/>
      </c>
      <c r="N436" s="27">
        <f>IF(G436="","",IF(NOT(ISNUMBER(G436)),"Revisa",ROUND(ROUND(G436*(1+N($K$10)/100)/$O$7,0)*$O$7,2)))</f>
        <v/>
      </c>
      <c r="O436">
        <f>IF(B436="","",MAX($O$12:O435)+1)</f>
        <v/>
      </c>
      <c r="P436">
        <f>IF(AND(B436="",G436&lt;&gt;""),1,0)</f>
        <v/>
      </c>
    </row>
    <row r="437">
      <c r="A437" s="21" t="n"/>
      <c r="B437" s="21" t="n"/>
      <c r="C437" s="21" t="n"/>
      <c r="D437" s="22" t="n"/>
      <c r="E437" s="21" t="n"/>
      <c r="F437" s="23" t="n"/>
      <c r="G437" s="24" t="n"/>
      <c r="H437" s="25" t="n"/>
      <c r="I437" s="26">
        <f>IF(OR(NOT(ISNUMBER(G437)),N(D437)&lt;=1),"",ROUND(G437/D437,3))</f>
        <v/>
      </c>
      <c r="J437" s="27">
        <f>IF(G437="","",IF(NOT(ISNUMBER(G437)),"Revisa",IF(H437="","Falta IVA",ROUND(G437*(1+H437/100),2))))</f>
        <v/>
      </c>
      <c r="K437" s="27">
        <f>IF(G437="","",IF(NOT(ISNUMBER(G437)),"Revisa",IF(H437="","Falta IVA",ROUND(G437*(1+(H437+IF(H437=21,5.2,IF(H437=10,1.4,IF(H437=4,0.5,0))))/100),2))))</f>
        <v/>
      </c>
      <c r="L437" s="27">
        <f>IF(G437="","",IF(NOT(ISNUMBER(G437)),"Revisa",ROUND(ROUND(G437*(1+N($K$8)/100)/$O$7,0)*$O$7,2)))</f>
        <v/>
      </c>
      <c r="M437" s="27">
        <f>IF(G437="","",IF(NOT(ISNUMBER(G437)),"Revisa",ROUND(ROUND(G437*(1+N($K$9)/100)/$O$7,0)*$O$7,2)))</f>
        <v/>
      </c>
      <c r="N437" s="27">
        <f>IF(G437="","",IF(NOT(ISNUMBER(G437)),"Revisa",ROUND(ROUND(G437*(1+N($K$10)/100)/$O$7,0)*$O$7,2)))</f>
        <v/>
      </c>
      <c r="O437">
        <f>IF(B437="","",MAX($O$12:O436)+1)</f>
        <v/>
      </c>
      <c r="P437">
        <f>IF(AND(B437="",G437&lt;&gt;""),1,0)</f>
        <v/>
      </c>
    </row>
    <row r="438">
      <c r="A438" s="21" t="n"/>
      <c r="B438" s="21" t="n"/>
      <c r="C438" s="21" t="n"/>
      <c r="D438" s="22" t="n"/>
      <c r="E438" s="21" t="n"/>
      <c r="F438" s="23" t="n"/>
      <c r="G438" s="24" t="n"/>
      <c r="H438" s="25" t="n"/>
      <c r="I438" s="26">
        <f>IF(OR(NOT(ISNUMBER(G438)),N(D438)&lt;=1),"",ROUND(G438/D438,3))</f>
        <v/>
      </c>
      <c r="J438" s="27">
        <f>IF(G438="","",IF(NOT(ISNUMBER(G438)),"Revisa",IF(H438="","Falta IVA",ROUND(G438*(1+H438/100),2))))</f>
        <v/>
      </c>
      <c r="K438" s="27">
        <f>IF(G438="","",IF(NOT(ISNUMBER(G438)),"Revisa",IF(H438="","Falta IVA",ROUND(G438*(1+(H438+IF(H438=21,5.2,IF(H438=10,1.4,IF(H438=4,0.5,0))))/100),2))))</f>
        <v/>
      </c>
      <c r="L438" s="27">
        <f>IF(G438="","",IF(NOT(ISNUMBER(G438)),"Revisa",ROUND(ROUND(G438*(1+N($K$8)/100)/$O$7,0)*$O$7,2)))</f>
        <v/>
      </c>
      <c r="M438" s="27">
        <f>IF(G438="","",IF(NOT(ISNUMBER(G438)),"Revisa",ROUND(ROUND(G438*(1+N($K$9)/100)/$O$7,0)*$O$7,2)))</f>
        <v/>
      </c>
      <c r="N438" s="27">
        <f>IF(G438="","",IF(NOT(ISNUMBER(G438)),"Revisa",ROUND(ROUND(G438*(1+N($K$10)/100)/$O$7,0)*$O$7,2)))</f>
        <v/>
      </c>
      <c r="O438">
        <f>IF(B438="","",MAX($O$12:O437)+1)</f>
        <v/>
      </c>
      <c r="P438">
        <f>IF(AND(B438="",G438&lt;&gt;""),1,0)</f>
        <v/>
      </c>
    </row>
    <row r="439">
      <c r="A439" s="21" t="n"/>
      <c r="B439" s="21" t="n"/>
      <c r="C439" s="21" t="n"/>
      <c r="D439" s="22" t="n"/>
      <c r="E439" s="21" t="n"/>
      <c r="F439" s="23" t="n"/>
      <c r="G439" s="24" t="n"/>
      <c r="H439" s="25" t="n"/>
      <c r="I439" s="26">
        <f>IF(OR(NOT(ISNUMBER(G439)),N(D439)&lt;=1),"",ROUND(G439/D439,3))</f>
        <v/>
      </c>
      <c r="J439" s="27">
        <f>IF(G439="","",IF(NOT(ISNUMBER(G439)),"Revisa",IF(H439="","Falta IVA",ROUND(G439*(1+H439/100),2))))</f>
        <v/>
      </c>
      <c r="K439" s="27">
        <f>IF(G439="","",IF(NOT(ISNUMBER(G439)),"Revisa",IF(H439="","Falta IVA",ROUND(G439*(1+(H439+IF(H439=21,5.2,IF(H439=10,1.4,IF(H439=4,0.5,0))))/100),2))))</f>
        <v/>
      </c>
      <c r="L439" s="27">
        <f>IF(G439="","",IF(NOT(ISNUMBER(G439)),"Revisa",ROUND(ROUND(G439*(1+N($K$8)/100)/$O$7,0)*$O$7,2)))</f>
        <v/>
      </c>
      <c r="M439" s="27">
        <f>IF(G439="","",IF(NOT(ISNUMBER(G439)),"Revisa",ROUND(ROUND(G439*(1+N($K$9)/100)/$O$7,0)*$O$7,2)))</f>
        <v/>
      </c>
      <c r="N439" s="27">
        <f>IF(G439="","",IF(NOT(ISNUMBER(G439)),"Revisa",ROUND(ROUND(G439*(1+N($K$10)/100)/$O$7,0)*$O$7,2)))</f>
        <v/>
      </c>
      <c r="O439">
        <f>IF(B439="","",MAX($O$12:O438)+1)</f>
        <v/>
      </c>
      <c r="P439">
        <f>IF(AND(B439="",G439&lt;&gt;""),1,0)</f>
        <v/>
      </c>
    </row>
    <row r="440">
      <c r="A440" s="21" t="n"/>
      <c r="B440" s="21" t="n"/>
      <c r="C440" s="21" t="n"/>
      <c r="D440" s="22" t="n"/>
      <c r="E440" s="21" t="n"/>
      <c r="F440" s="23" t="n"/>
      <c r="G440" s="24" t="n"/>
      <c r="H440" s="25" t="n"/>
      <c r="I440" s="26">
        <f>IF(OR(NOT(ISNUMBER(G440)),N(D440)&lt;=1),"",ROUND(G440/D440,3))</f>
        <v/>
      </c>
      <c r="J440" s="27">
        <f>IF(G440="","",IF(NOT(ISNUMBER(G440)),"Revisa",IF(H440="","Falta IVA",ROUND(G440*(1+H440/100),2))))</f>
        <v/>
      </c>
      <c r="K440" s="27">
        <f>IF(G440="","",IF(NOT(ISNUMBER(G440)),"Revisa",IF(H440="","Falta IVA",ROUND(G440*(1+(H440+IF(H440=21,5.2,IF(H440=10,1.4,IF(H440=4,0.5,0))))/100),2))))</f>
        <v/>
      </c>
      <c r="L440" s="27">
        <f>IF(G440="","",IF(NOT(ISNUMBER(G440)),"Revisa",ROUND(ROUND(G440*(1+N($K$8)/100)/$O$7,0)*$O$7,2)))</f>
        <v/>
      </c>
      <c r="M440" s="27">
        <f>IF(G440="","",IF(NOT(ISNUMBER(G440)),"Revisa",ROUND(ROUND(G440*(1+N($K$9)/100)/$O$7,0)*$O$7,2)))</f>
        <v/>
      </c>
      <c r="N440" s="27">
        <f>IF(G440="","",IF(NOT(ISNUMBER(G440)),"Revisa",ROUND(ROUND(G440*(1+N($K$10)/100)/$O$7,0)*$O$7,2)))</f>
        <v/>
      </c>
      <c r="O440">
        <f>IF(B440="","",MAX($O$12:O439)+1)</f>
        <v/>
      </c>
      <c r="P440">
        <f>IF(AND(B440="",G440&lt;&gt;""),1,0)</f>
        <v/>
      </c>
    </row>
    <row r="441">
      <c r="A441" s="21" t="n"/>
      <c r="B441" s="21" t="n"/>
      <c r="C441" s="21" t="n"/>
      <c r="D441" s="22" t="n"/>
      <c r="E441" s="21" t="n"/>
      <c r="F441" s="23" t="n"/>
      <c r="G441" s="24" t="n"/>
      <c r="H441" s="25" t="n"/>
      <c r="I441" s="26">
        <f>IF(OR(NOT(ISNUMBER(G441)),N(D441)&lt;=1),"",ROUND(G441/D441,3))</f>
        <v/>
      </c>
      <c r="J441" s="27">
        <f>IF(G441="","",IF(NOT(ISNUMBER(G441)),"Revisa",IF(H441="","Falta IVA",ROUND(G441*(1+H441/100),2))))</f>
        <v/>
      </c>
      <c r="K441" s="27">
        <f>IF(G441="","",IF(NOT(ISNUMBER(G441)),"Revisa",IF(H441="","Falta IVA",ROUND(G441*(1+(H441+IF(H441=21,5.2,IF(H441=10,1.4,IF(H441=4,0.5,0))))/100),2))))</f>
        <v/>
      </c>
      <c r="L441" s="27">
        <f>IF(G441="","",IF(NOT(ISNUMBER(G441)),"Revisa",ROUND(ROUND(G441*(1+N($K$8)/100)/$O$7,0)*$O$7,2)))</f>
        <v/>
      </c>
      <c r="M441" s="27">
        <f>IF(G441="","",IF(NOT(ISNUMBER(G441)),"Revisa",ROUND(ROUND(G441*(1+N($K$9)/100)/$O$7,0)*$O$7,2)))</f>
        <v/>
      </c>
      <c r="N441" s="27">
        <f>IF(G441="","",IF(NOT(ISNUMBER(G441)),"Revisa",ROUND(ROUND(G441*(1+N($K$10)/100)/$O$7,0)*$O$7,2)))</f>
        <v/>
      </c>
      <c r="O441">
        <f>IF(B441="","",MAX($O$12:O440)+1)</f>
        <v/>
      </c>
      <c r="P441">
        <f>IF(AND(B441="",G441&lt;&gt;""),1,0)</f>
        <v/>
      </c>
    </row>
    <row r="442">
      <c r="A442" s="21" t="n"/>
      <c r="B442" s="21" t="n"/>
      <c r="C442" s="21" t="n"/>
      <c r="D442" s="22" t="n"/>
      <c r="E442" s="21" t="n"/>
      <c r="F442" s="23" t="n"/>
      <c r="G442" s="24" t="n"/>
      <c r="H442" s="25" t="n"/>
      <c r="I442" s="26">
        <f>IF(OR(NOT(ISNUMBER(G442)),N(D442)&lt;=1),"",ROUND(G442/D442,3))</f>
        <v/>
      </c>
      <c r="J442" s="27">
        <f>IF(G442="","",IF(NOT(ISNUMBER(G442)),"Revisa",IF(H442="","Falta IVA",ROUND(G442*(1+H442/100),2))))</f>
        <v/>
      </c>
      <c r="K442" s="27">
        <f>IF(G442="","",IF(NOT(ISNUMBER(G442)),"Revisa",IF(H442="","Falta IVA",ROUND(G442*(1+(H442+IF(H442=21,5.2,IF(H442=10,1.4,IF(H442=4,0.5,0))))/100),2))))</f>
        <v/>
      </c>
      <c r="L442" s="27">
        <f>IF(G442="","",IF(NOT(ISNUMBER(G442)),"Revisa",ROUND(ROUND(G442*(1+N($K$8)/100)/$O$7,0)*$O$7,2)))</f>
        <v/>
      </c>
      <c r="M442" s="27">
        <f>IF(G442="","",IF(NOT(ISNUMBER(G442)),"Revisa",ROUND(ROUND(G442*(1+N($K$9)/100)/$O$7,0)*$O$7,2)))</f>
        <v/>
      </c>
      <c r="N442" s="27">
        <f>IF(G442="","",IF(NOT(ISNUMBER(G442)),"Revisa",ROUND(ROUND(G442*(1+N($K$10)/100)/$O$7,0)*$O$7,2)))</f>
        <v/>
      </c>
      <c r="O442">
        <f>IF(B442="","",MAX($O$12:O441)+1)</f>
        <v/>
      </c>
      <c r="P442">
        <f>IF(AND(B442="",G442&lt;&gt;""),1,0)</f>
        <v/>
      </c>
    </row>
    <row r="443">
      <c r="A443" s="21" t="n"/>
      <c r="B443" s="21" t="n"/>
      <c r="C443" s="21" t="n"/>
      <c r="D443" s="22" t="n"/>
      <c r="E443" s="21" t="n"/>
      <c r="F443" s="23" t="n"/>
      <c r="G443" s="24" t="n"/>
      <c r="H443" s="25" t="n"/>
      <c r="I443" s="26">
        <f>IF(OR(NOT(ISNUMBER(G443)),N(D443)&lt;=1),"",ROUND(G443/D443,3))</f>
        <v/>
      </c>
      <c r="J443" s="27">
        <f>IF(G443="","",IF(NOT(ISNUMBER(G443)),"Revisa",IF(H443="","Falta IVA",ROUND(G443*(1+H443/100),2))))</f>
        <v/>
      </c>
      <c r="K443" s="27">
        <f>IF(G443="","",IF(NOT(ISNUMBER(G443)),"Revisa",IF(H443="","Falta IVA",ROUND(G443*(1+(H443+IF(H443=21,5.2,IF(H443=10,1.4,IF(H443=4,0.5,0))))/100),2))))</f>
        <v/>
      </c>
      <c r="L443" s="27">
        <f>IF(G443="","",IF(NOT(ISNUMBER(G443)),"Revisa",ROUND(ROUND(G443*(1+N($K$8)/100)/$O$7,0)*$O$7,2)))</f>
        <v/>
      </c>
      <c r="M443" s="27">
        <f>IF(G443="","",IF(NOT(ISNUMBER(G443)),"Revisa",ROUND(ROUND(G443*(1+N($K$9)/100)/$O$7,0)*$O$7,2)))</f>
        <v/>
      </c>
      <c r="N443" s="27">
        <f>IF(G443="","",IF(NOT(ISNUMBER(G443)),"Revisa",ROUND(ROUND(G443*(1+N($K$10)/100)/$O$7,0)*$O$7,2)))</f>
        <v/>
      </c>
      <c r="O443">
        <f>IF(B443="","",MAX($O$12:O442)+1)</f>
        <v/>
      </c>
      <c r="P443">
        <f>IF(AND(B443="",G443&lt;&gt;""),1,0)</f>
        <v/>
      </c>
    </row>
    <row r="444">
      <c r="A444" s="21" t="n"/>
      <c r="B444" s="21" t="n"/>
      <c r="C444" s="21" t="n"/>
      <c r="D444" s="22" t="n"/>
      <c r="E444" s="21" t="n"/>
      <c r="F444" s="23" t="n"/>
      <c r="G444" s="24" t="n"/>
      <c r="H444" s="25" t="n"/>
      <c r="I444" s="26">
        <f>IF(OR(NOT(ISNUMBER(G444)),N(D444)&lt;=1),"",ROUND(G444/D444,3))</f>
        <v/>
      </c>
      <c r="J444" s="27">
        <f>IF(G444="","",IF(NOT(ISNUMBER(G444)),"Revisa",IF(H444="","Falta IVA",ROUND(G444*(1+H444/100),2))))</f>
        <v/>
      </c>
      <c r="K444" s="27">
        <f>IF(G444="","",IF(NOT(ISNUMBER(G444)),"Revisa",IF(H444="","Falta IVA",ROUND(G444*(1+(H444+IF(H444=21,5.2,IF(H444=10,1.4,IF(H444=4,0.5,0))))/100),2))))</f>
        <v/>
      </c>
      <c r="L444" s="27">
        <f>IF(G444="","",IF(NOT(ISNUMBER(G444)),"Revisa",ROUND(ROUND(G444*(1+N($K$8)/100)/$O$7,0)*$O$7,2)))</f>
        <v/>
      </c>
      <c r="M444" s="27">
        <f>IF(G444="","",IF(NOT(ISNUMBER(G444)),"Revisa",ROUND(ROUND(G444*(1+N($K$9)/100)/$O$7,0)*$O$7,2)))</f>
        <v/>
      </c>
      <c r="N444" s="27">
        <f>IF(G444="","",IF(NOT(ISNUMBER(G444)),"Revisa",ROUND(ROUND(G444*(1+N($K$10)/100)/$O$7,0)*$O$7,2)))</f>
        <v/>
      </c>
      <c r="O444">
        <f>IF(B444="","",MAX($O$12:O443)+1)</f>
        <v/>
      </c>
      <c r="P444">
        <f>IF(AND(B444="",G444&lt;&gt;""),1,0)</f>
        <v/>
      </c>
    </row>
    <row r="445">
      <c r="A445" s="21" t="n"/>
      <c r="B445" s="21" t="n"/>
      <c r="C445" s="21" t="n"/>
      <c r="D445" s="22" t="n"/>
      <c r="E445" s="21" t="n"/>
      <c r="F445" s="23" t="n"/>
      <c r="G445" s="24" t="n"/>
      <c r="H445" s="25" t="n"/>
      <c r="I445" s="26">
        <f>IF(OR(NOT(ISNUMBER(G445)),N(D445)&lt;=1),"",ROUND(G445/D445,3))</f>
        <v/>
      </c>
      <c r="J445" s="27">
        <f>IF(G445="","",IF(NOT(ISNUMBER(G445)),"Revisa",IF(H445="","Falta IVA",ROUND(G445*(1+H445/100),2))))</f>
        <v/>
      </c>
      <c r="K445" s="27">
        <f>IF(G445="","",IF(NOT(ISNUMBER(G445)),"Revisa",IF(H445="","Falta IVA",ROUND(G445*(1+(H445+IF(H445=21,5.2,IF(H445=10,1.4,IF(H445=4,0.5,0))))/100),2))))</f>
        <v/>
      </c>
      <c r="L445" s="27">
        <f>IF(G445="","",IF(NOT(ISNUMBER(G445)),"Revisa",ROUND(ROUND(G445*(1+N($K$8)/100)/$O$7,0)*$O$7,2)))</f>
        <v/>
      </c>
      <c r="M445" s="27">
        <f>IF(G445="","",IF(NOT(ISNUMBER(G445)),"Revisa",ROUND(ROUND(G445*(1+N($K$9)/100)/$O$7,0)*$O$7,2)))</f>
        <v/>
      </c>
      <c r="N445" s="27">
        <f>IF(G445="","",IF(NOT(ISNUMBER(G445)),"Revisa",ROUND(ROUND(G445*(1+N($K$10)/100)/$O$7,0)*$O$7,2)))</f>
        <v/>
      </c>
      <c r="O445">
        <f>IF(B445="","",MAX($O$12:O444)+1)</f>
        <v/>
      </c>
      <c r="P445">
        <f>IF(AND(B445="",G445&lt;&gt;""),1,0)</f>
        <v/>
      </c>
    </row>
    <row r="446">
      <c r="A446" s="21" t="n"/>
      <c r="B446" s="21" t="n"/>
      <c r="C446" s="21" t="n"/>
      <c r="D446" s="22" t="n"/>
      <c r="E446" s="21" t="n"/>
      <c r="F446" s="23" t="n"/>
      <c r="G446" s="24" t="n"/>
      <c r="H446" s="25" t="n"/>
      <c r="I446" s="26">
        <f>IF(OR(NOT(ISNUMBER(G446)),N(D446)&lt;=1),"",ROUND(G446/D446,3))</f>
        <v/>
      </c>
      <c r="J446" s="27">
        <f>IF(G446="","",IF(NOT(ISNUMBER(G446)),"Revisa",IF(H446="","Falta IVA",ROUND(G446*(1+H446/100),2))))</f>
        <v/>
      </c>
      <c r="K446" s="27">
        <f>IF(G446="","",IF(NOT(ISNUMBER(G446)),"Revisa",IF(H446="","Falta IVA",ROUND(G446*(1+(H446+IF(H446=21,5.2,IF(H446=10,1.4,IF(H446=4,0.5,0))))/100),2))))</f>
        <v/>
      </c>
      <c r="L446" s="27">
        <f>IF(G446="","",IF(NOT(ISNUMBER(G446)),"Revisa",ROUND(ROUND(G446*(1+N($K$8)/100)/$O$7,0)*$O$7,2)))</f>
        <v/>
      </c>
      <c r="M446" s="27">
        <f>IF(G446="","",IF(NOT(ISNUMBER(G446)),"Revisa",ROUND(ROUND(G446*(1+N($K$9)/100)/$O$7,0)*$O$7,2)))</f>
        <v/>
      </c>
      <c r="N446" s="27">
        <f>IF(G446="","",IF(NOT(ISNUMBER(G446)),"Revisa",ROUND(ROUND(G446*(1+N($K$10)/100)/$O$7,0)*$O$7,2)))</f>
        <v/>
      </c>
      <c r="O446">
        <f>IF(B446="","",MAX($O$12:O445)+1)</f>
        <v/>
      </c>
      <c r="P446">
        <f>IF(AND(B446="",G446&lt;&gt;""),1,0)</f>
        <v/>
      </c>
    </row>
    <row r="447">
      <c r="A447" s="21" t="n"/>
      <c r="B447" s="21" t="n"/>
      <c r="C447" s="21" t="n"/>
      <c r="D447" s="22" t="n"/>
      <c r="E447" s="21" t="n"/>
      <c r="F447" s="23" t="n"/>
      <c r="G447" s="24" t="n"/>
      <c r="H447" s="25" t="n"/>
      <c r="I447" s="26">
        <f>IF(OR(NOT(ISNUMBER(G447)),N(D447)&lt;=1),"",ROUND(G447/D447,3))</f>
        <v/>
      </c>
      <c r="J447" s="27">
        <f>IF(G447="","",IF(NOT(ISNUMBER(G447)),"Revisa",IF(H447="","Falta IVA",ROUND(G447*(1+H447/100),2))))</f>
        <v/>
      </c>
      <c r="K447" s="27">
        <f>IF(G447="","",IF(NOT(ISNUMBER(G447)),"Revisa",IF(H447="","Falta IVA",ROUND(G447*(1+(H447+IF(H447=21,5.2,IF(H447=10,1.4,IF(H447=4,0.5,0))))/100),2))))</f>
        <v/>
      </c>
      <c r="L447" s="27">
        <f>IF(G447="","",IF(NOT(ISNUMBER(G447)),"Revisa",ROUND(ROUND(G447*(1+N($K$8)/100)/$O$7,0)*$O$7,2)))</f>
        <v/>
      </c>
      <c r="M447" s="27">
        <f>IF(G447="","",IF(NOT(ISNUMBER(G447)),"Revisa",ROUND(ROUND(G447*(1+N($K$9)/100)/$O$7,0)*$O$7,2)))</f>
        <v/>
      </c>
      <c r="N447" s="27">
        <f>IF(G447="","",IF(NOT(ISNUMBER(G447)),"Revisa",ROUND(ROUND(G447*(1+N($K$10)/100)/$O$7,0)*$O$7,2)))</f>
        <v/>
      </c>
      <c r="O447">
        <f>IF(B447="","",MAX($O$12:O446)+1)</f>
        <v/>
      </c>
      <c r="P447">
        <f>IF(AND(B447="",G447&lt;&gt;""),1,0)</f>
        <v/>
      </c>
    </row>
    <row r="448">
      <c r="A448" s="21" t="n"/>
      <c r="B448" s="21" t="n"/>
      <c r="C448" s="21" t="n"/>
      <c r="D448" s="22" t="n"/>
      <c r="E448" s="21" t="n"/>
      <c r="F448" s="23" t="n"/>
      <c r="G448" s="24" t="n"/>
      <c r="H448" s="25" t="n"/>
      <c r="I448" s="26">
        <f>IF(OR(NOT(ISNUMBER(G448)),N(D448)&lt;=1),"",ROUND(G448/D448,3))</f>
        <v/>
      </c>
      <c r="J448" s="27">
        <f>IF(G448="","",IF(NOT(ISNUMBER(G448)),"Revisa",IF(H448="","Falta IVA",ROUND(G448*(1+H448/100),2))))</f>
        <v/>
      </c>
      <c r="K448" s="27">
        <f>IF(G448="","",IF(NOT(ISNUMBER(G448)),"Revisa",IF(H448="","Falta IVA",ROUND(G448*(1+(H448+IF(H448=21,5.2,IF(H448=10,1.4,IF(H448=4,0.5,0))))/100),2))))</f>
        <v/>
      </c>
      <c r="L448" s="27">
        <f>IF(G448="","",IF(NOT(ISNUMBER(G448)),"Revisa",ROUND(ROUND(G448*(1+N($K$8)/100)/$O$7,0)*$O$7,2)))</f>
        <v/>
      </c>
      <c r="M448" s="27">
        <f>IF(G448="","",IF(NOT(ISNUMBER(G448)),"Revisa",ROUND(ROUND(G448*(1+N($K$9)/100)/$O$7,0)*$O$7,2)))</f>
        <v/>
      </c>
      <c r="N448" s="27">
        <f>IF(G448="","",IF(NOT(ISNUMBER(G448)),"Revisa",ROUND(ROUND(G448*(1+N($K$10)/100)/$O$7,0)*$O$7,2)))</f>
        <v/>
      </c>
      <c r="O448">
        <f>IF(B448="","",MAX($O$12:O447)+1)</f>
        <v/>
      </c>
      <c r="P448">
        <f>IF(AND(B448="",G448&lt;&gt;""),1,0)</f>
        <v/>
      </c>
    </row>
    <row r="449">
      <c r="A449" s="21" t="n"/>
      <c r="B449" s="21" t="n"/>
      <c r="C449" s="21" t="n"/>
      <c r="D449" s="22" t="n"/>
      <c r="E449" s="21" t="n"/>
      <c r="F449" s="23" t="n"/>
      <c r="G449" s="24" t="n"/>
      <c r="H449" s="25" t="n"/>
      <c r="I449" s="26">
        <f>IF(OR(NOT(ISNUMBER(G449)),N(D449)&lt;=1),"",ROUND(G449/D449,3))</f>
        <v/>
      </c>
      <c r="J449" s="27">
        <f>IF(G449="","",IF(NOT(ISNUMBER(G449)),"Revisa",IF(H449="","Falta IVA",ROUND(G449*(1+H449/100),2))))</f>
        <v/>
      </c>
      <c r="K449" s="27">
        <f>IF(G449="","",IF(NOT(ISNUMBER(G449)),"Revisa",IF(H449="","Falta IVA",ROUND(G449*(1+(H449+IF(H449=21,5.2,IF(H449=10,1.4,IF(H449=4,0.5,0))))/100),2))))</f>
        <v/>
      </c>
      <c r="L449" s="27">
        <f>IF(G449="","",IF(NOT(ISNUMBER(G449)),"Revisa",ROUND(ROUND(G449*(1+N($K$8)/100)/$O$7,0)*$O$7,2)))</f>
        <v/>
      </c>
      <c r="M449" s="27">
        <f>IF(G449="","",IF(NOT(ISNUMBER(G449)),"Revisa",ROUND(ROUND(G449*(1+N($K$9)/100)/$O$7,0)*$O$7,2)))</f>
        <v/>
      </c>
      <c r="N449" s="27">
        <f>IF(G449="","",IF(NOT(ISNUMBER(G449)),"Revisa",ROUND(ROUND(G449*(1+N($K$10)/100)/$O$7,0)*$O$7,2)))</f>
        <v/>
      </c>
      <c r="O449">
        <f>IF(B449="","",MAX($O$12:O448)+1)</f>
        <v/>
      </c>
      <c r="P449">
        <f>IF(AND(B449="",G449&lt;&gt;""),1,0)</f>
        <v/>
      </c>
    </row>
    <row r="450">
      <c r="A450" s="21" t="n"/>
      <c r="B450" s="21" t="n"/>
      <c r="C450" s="21" t="n"/>
      <c r="D450" s="22" t="n"/>
      <c r="E450" s="21" t="n"/>
      <c r="F450" s="23" t="n"/>
      <c r="G450" s="24" t="n"/>
      <c r="H450" s="25" t="n"/>
      <c r="I450" s="26">
        <f>IF(OR(NOT(ISNUMBER(G450)),N(D450)&lt;=1),"",ROUND(G450/D450,3))</f>
        <v/>
      </c>
      <c r="J450" s="27">
        <f>IF(G450="","",IF(NOT(ISNUMBER(G450)),"Revisa",IF(H450="","Falta IVA",ROUND(G450*(1+H450/100),2))))</f>
        <v/>
      </c>
      <c r="K450" s="27">
        <f>IF(G450="","",IF(NOT(ISNUMBER(G450)),"Revisa",IF(H450="","Falta IVA",ROUND(G450*(1+(H450+IF(H450=21,5.2,IF(H450=10,1.4,IF(H450=4,0.5,0))))/100),2))))</f>
        <v/>
      </c>
      <c r="L450" s="27">
        <f>IF(G450="","",IF(NOT(ISNUMBER(G450)),"Revisa",ROUND(ROUND(G450*(1+N($K$8)/100)/$O$7,0)*$O$7,2)))</f>
        <v/>
      </c>
      <c r="M450" s="27">
        <f>IF(G450="","",IF(NOT(ISNUMBER(G450)),"Revisa",ROUND(ROUND(G450*(1+N($K$9)/100)/$O$7,0)*$O$7,2)))</f>
        <v/>
      </c>
      <c r="N450" s="27">
        <f>IF(G450="","",IF(NOT(ISNUMBER(G450)),"Revisa",ROUND(ROUND(G450*(1+N($K$10)/100)/$O$7,0)*$O$7,2)))</f>
        <v/>
      </c>
      <c r="O450">
        <f>IF(B450="","",MAX($O$12:O449)+1)</f>
        <v/>
      </c>
      <c r="P450">
        <f>IF(AND(B450="",G450&lt;&gt;""),1,0)</f>
        <v/>
      </c>
    </row>
    <row r="451">
      <c r="A451" s="21" t="n"/>
      <c r="B451" s="21" t="n"/>
      <c r="C451" s="21" t="n"/>
      <c r="D451" s="22" t="n"/>
      <c r="E451" s="21" t="n"/>
      <c r="F451" s="23" t="n"/>
      <c r="G451" s="24" t="n"/>
      <c r="H451" s="25" t="n"/>
      <c r="I451" s="26">
        <f>IF(OR(NOT(ISNUMBER(G451)),N(D451)&lt;=1),"",ROUND(G451/D451,3))</f>
        <v/>
      </c>
      <c r="J451" s="27">
        <f>IF(G451="","",IF(NOT(ISNUMBER(G451)),"Revisa",IF(H451="","Falta IVA",ROUND(G451*(1+H451/100),2))))</f>
        <v/>
      </c>
      <c r="K451" s="27">
        <f>IF(G451="","",IF(NOT(ISNUMBER(G451)),"Revisa",IF(H451="","Falta IVA",ROUND(G451*(1+(H451+IF(H451=21,5.2,IF(H451=10,1.4,IF(H451=4,0.5,0))))/100),2))))</f>
        <v/>
      </c>
      <c r="L451" s="27">
        <f>IF(G451="","",IF(NOT(ISNUMBER(G451)),"Revisa",ROUND(ROUND(G451*(1+N($K$8)/100)/$O$7,0)*$O$7,2)))</f>
        <v/>
      </c>
      <c r="M451" s="27">
        <f>IF(G451="","",IF(NOT(ISNUMBER(G451)),"Revisa",ROUND(ROUND(G451*(1+N($K$9)/100)/$O$7,0)*$O$7,2)))</f>
        <v/>
      </c>
      <c r="N451" s="27">
        <f>IF(G451="","",IF(NOT(ISNUMBER(G451)),"Revisa",ROUND(ROUND(G451*(1+N($K$10)/100)/$O$7,0)*$O$7,2)))</f>
        <v/>
      </c>
      <c r="O451">
        <f>IF(B451="","",MAX($O$12:O450)+1)</f>
        <v/>
      </c>
      <c r="P451">
        <f>IF(AND(B451="",G451&lt;&gt;""),1,0)</f>
        <v/>
      </c>
    </row>
    <row r="452">
      <c r="A452" s="21" t="n"/>
      <c r="B452" s="21" t="n"/>
      <c r="C452" s="21" t="n"/>
      <c r="D452" s="22" t="n"/>
      <c r="E452" s="21" t="n"/>
      <c r="F452" s="23" t="n"/>
      <c r="G452" s="24" t="n"/>
      <c r="H452" s="25" t="n"/>
      <c r="I452" s="26">
        <f>IF(OR(NOT(ISNUMBER(G452)),N(D452)&lt;=1),"",ROUND(G452/D452,3))</f>
        <v/>
      </c>
      <c r="J452" s="27">
        <f>IF(G452="","",IF(NOT(ISNUMBER(G452)),"Revisa",IF(H452="","Falta IVA",ROUND(G452*(1+H452/100),2))))</f>
        <v/>
      </c>
      <c r="K452" s="27">
        <f>IF(G452="","",IF(NOT(ISNUMBER(G452)),"Revisa",IF(H452="","Falta IVA",ROUND(G452*(1+(H452+IF(H452=21,5.2,IF(H452=10,1.4,IF(H452=4,0.5,0))))/100),2))))</f>
        <v/>
      </c>
      <c r="L452" s="27">
        <f>IF(G452="","",IF(NOT(ISNUMBER(G452)),"Revisa",ROUND(ROUND(G452*(1+N($K$8)/100)/$O$7,0)*$O$7,2)))</f>
        <v/>
      </c>
      <c r="M452" s="27">
        <f>IF(G452="","",IF(NOT(ISNUMBER(G452)),"Revisa",ROUND(ROUND(G452*(1+N($K$9)/100)/$O$7,0)*$O$7,2)))</f>
        <v/>
      </c>
      <c r="N452" s="27">
        <f>IF(G452="","",IF(NOT(ISNUMBER(G452)),"Revisa",ROUND(ROUND(G452*(1+N($K$10)/100)/$O$7,0)*$O$7,2)))</f>
        <v/>
      </c>
      <c r="O452">
        <f>IF(B452="","",MAX($O$12:O451)+1)</f>
        <v/>
      </c>
      <c r="P452">
        <f>IF(AND(B452="",G452&lt;&gt;""),1,0)</f>
        <v/>
      </c>
    </row>
    <row r="453">
      <c r="A453" s="21" t="n"/>
      <c r="B453" s="21" t="n"/>
      <c r="C453" s="21" t="n"/>
      <c r="D453" s="22" t="n"/>
      <c r="E453" s="21" t="n"/>
      <c r="F453" s="23" t="n"/>
      <c r="G453" s="24" t="n"/>
      <c r="H453" s="25" t="n"/>
      <c r="I453" s="26">
        <f>IF(OR(NOT(ISNUMBER(G453)),N(D453)&lt;=1),"",ROUND(G453/D453,3))</f>
        <v/>
      </c>
      <c r="J453" s="27">
        <f>IF(G453="","",IF(NOT(ISNUMBER(G453)),"Revisa",IF(H453="","Falta IVA",ROUND(G453*(1+H453/100),2))))</f>
        <v/>
      </c>
      <c r="K453" s="27">
        <f>IF(G453="","",IF(NOT(ISNUMBER(G453)),"Revisa",IF(H453="","Falta IVA",ROUND(G453*(1+(H453+IF(H453=21,5.2,IF(H453=10,1.4,IF(H453=4,0.5,0))))/100),2))))</f>
        <v/>
      </c>
      <c r="L453" s="27">
        <f>IF(G453="","",IF(NOT(ISNUMBER(G453)),"Revisa",ROUND(ROUND(G453*(1+N($K$8)/100)/$O$7,0)*$O$7,2)))</f>
        <v/>
      </c>
      <c r="M453" s="27">
        <f>IF(G453="","",IF(NOT(ISNUMBER(G453)),"Revisa",ROUND(ROUND(G453*(1+N($K$9)/100)/$O$7,0)*$O$7,2)))</f>
        <v/>
      </c>
      <c r="N453" s="27">
        <f>IF(G453="","",IF(NOT(ISNUMBER(G453)),"Revisa",ROUND(ROUND(G453*(1+N($K$10)/100)/$O$7,0)*$O$7,2)))</f>
        <v/>
      </c>
      <c r="O453">
        <f>IF(B453="","",MAX($O$12:O452)+1)</f>
        <v/>
      </c>
      <c r="P453">
        <f>IF(AND(B453="",G453&lt;&gt;""),1,0)</f>
        <v/>
      </c>
    </row>
    <row r="454">
      <c r="A454" s="21" t="n"/>
      <c r="B454" s="21" t="n"/>
      <c r="C454" s="21" t="n"/>
      <c r="D454" s="22" t="n"/>
      <c r="E454" s="21" t="n"/>
      <c r="F454" s="23" t="n"/>
      <c r="G454" s="24" t="n"/>
      <c r="H454" s="25" t="n"/>
      <c r="I454" s="26">
        <f>IF(OR(NOT(ISNUMBER(G454)),N(D454)&lt;=1),"",ROUND(G454/D454,3))</f>
        <v/>
      </c>
      <c r="J454" s="27">
        <f>IF(G454="","",IF(NOT(ISNUMBER(G454)),"Revisa",IF(H454="","Falta IVA",ROUND(G454*(1+H454/100),2))))</f>
        <v/>
      </c>
      <c r="K454" s="27">
        <f>IF(G454="","",IF(NOT(ISNUMBER(G454)),"Revisa",IF(H454="","Falta IVA",ROUND(G454*(1+(H454+IF(H454=21,5.2,IF(H454=10,1.4,IF(H454=4,0.5,0))))/100),2))))</f>
        <v/>
      </c>
      <c r="L454" s="27">
        <f>IF(G454="","",IF(NOT(ISNUMBER(G454)),"Revisa",ROUND(ROUND(G454*(1+N($K$8)/100)/$O$7,0)*$O$7,2)))</f>
        <v/>
      </c>
      <c r="M454" s="27">
        <f>IF(G454="","",IF(NOT(ISNUMBER(G454)),"Revisa",ROUND(ROUND(G454*(1+N($K$9)/100)/$O$7,0)*$O$7,2)))</f>
        <v/>
      </c>
      <c r="N454" s="27">
        <f>IF(G454="","",IF(NOT(ISNUMBER(G454)),"Revisa",ROUND(ROUND(G454*(1+N($K$10)/100)/$O$7,0)*$O$7,2)))</f>
        <v/>
      </c>
      <c r="O454">
        <f>IF(B454="","",MAX($O$12:O453)+1)</f>
        <v/>
      </c>
      <c r="P454">
        <f>IF(AND(B454="",G454&lt;&gt;""),1,0)</f>
        <v/>
      </c>
    </row>
    <row r="455">
      <c r="A455" s="21" t="n"/>
      <c r="B455" s="21" t="n"/>
      <c r="C455" s="21" t="n"/>
      <c r="D455" s="22" t="n"/>
      <c r="E455" s="21" t="n"/>
      <c r="F455" s="23" t="n"/>
      <c r="G455" s="24" t="n"/>
      <c r="H455" s="25" t="n"/>
      <c r="I455" s="26">
        <f>IF(OR(NOT(ISNUMBER(G455)),N(D455)&lt;=1),"",ROUND(G455/D455,3))</f>
        <v/>
      </c>
      <c r="J455" s="27">
        <f>IF(G455="","",IF(NOT(ISNUMBER(G455)),"Revisa",IF(H455="","Falta IVA",ROUND(G455*(1+H455/100),2))))</f>
        <v/>
      </c>
      <c r="K455" s="27">
        <f>IF(G455="","",IF(NOT(ISNUMBER(G455)),"Revisa",IF(H455="","Falta IVA",ROUND(G455*(1+(H455+IF(H455=21,5.2,IF(H455=10,1.4,IF(H455=4,0.5,0))))/100),2))))</f>
        <v/>
      </c>
      <c r="L455" s="27">
        <f>IF(G455="","",IF(NOT(ISNUMBER(G455)),"Revisa",ROUND(ROUND(G455*(1+N($K$8)/100)/$O$7,0)*$O$7,2)))</f>
        <v/>
      </c>
      <c r="M455" s="27">
        <f>IF(G455="","",IF(NOT(ISNUMBER(G455)),"Revisa",ROUND(ROUND(G455*(1+N($K$9)/100)/$O$7,0)*$O$7,2)))</f>
        <v/>
      </c>
      <c r="N455" s="27">
        <f>IF(G455="","",IF(NOT(ISNUMBER(G455)),"Revisa",ROUND(ROUND(G455*(1+N($K$10)/100)/$O$7,0)*$O$7,2)))</f>
        <v/>
      </c>
      <c r="O455">
        <f>IF(B455="","",MAX($O$12:O454)+1)</f>
        <v/>
      </c>
      <c r="P455">
        <f>IF(AND(B455="",G455&lt;&gt;""),1,0)</f>
        <v/>
      </c>
    </row>
    <row r="456">
      <c r="A456" s="21" t="n"/>
      <c r="B456" s="21" t="n"/>
      <c r="C456" s="21" t="n"/>
      <c r="D456" s="22" t="n"/>
      <c r="E456" s="21" t="n"/>
      <c r="F456" s="23" t="n"/>
      <c r="G456" s="24" t="n"/>
      <c r="H456" s="25" t="n"/>
      <c r="I456" s="26">
        <f>IF(OR(NOT(ISNUMBER(G456)),N(D456)&lt;=1),"",ROUND(G456/D456,3))</f>
        <v/>
      </c>
      <c r="J456" s="27">
        <f>IF(G456="","",IF(NOT(ISNUMBER(G456)),"Revisa",IF(H456="","Falta IVA",ROUND(G456*(1+H456/100),2))))</f>
        <v/>
      </c>
      <c r="K456" s="27">
        <f>IF(G456="","",IF(NOT(ISNUMBER(G456)),"Revisa",IF(H456="","Falta IVA",ROUND(G456*(1+(H456+IF(H456=21,5.2,IF(H456=10,1.4,IF(H456=4,0.5,0))))/100),2))))</f>
        <v/>
      </c>
      <c r="L456" s="27">
        <f>IF(G456="","",IF(NOT(ISNUMBER(G456)),"Revisa",ROUND(ROUND(G456*(1+N($K$8)/100)/$O$7,0)*$O$7,2)))</f>
        <v/>
      </c>
      <c r="M456" s="27">
        <f>IF(G456="","",IF(NOT(ISNUMBER(G456)),"Revisa",ROUND(ROUND(G456*(1+N($K$9)/100)/$O$7,0)*$O$7,2)))</f>
        <v/>
      </c>
      <c r="N456" s="27">
        <f>IF(G456="","",IF(NOT(ISNUMBER(G456)),"Revisa",ROUND(ROUND(G456*(1+N($K$10)/100)/$O$7,0)*$O$7,2)))</f>
        <v/>
      </c>
      <c r="O456">
        <f>IF(B456="","",MAX($O$12:O455)+1)</f>
        <v/>
      </c>
      <c r="P456">
        <f>IF(AND(B456="",G456&lt;&gt;""),1,0)</f>
        <v/>
      </c>
    </row>
    <row r="457">
      <c r="A457" s="21" t="n"/>
      <c r="B457" s="21" t="n"/>
      <c r="C457" s="21" t="n"/>
      <c r="D457" s="22" t="n"/>
      <c r="E457" s="21" t="n"/>
      <c r="F457" s="23" t="n"/>
      <c r="G457" s="24" t="n"/>
      <c r="H457" s="25" t="n"/>
      <c r="I457" s="26">
        <f>IF(OR(NOT(ISNUMBER(G457)),N(D457)&lt;=1),"",ROUND(G457/D457,3))</f>
        <v/>
      </c>
      <c r="J457" s="27">
        <f>IF(G457="","",IF(NOT(ISNUMBER(G457)),"Revisa",IF(H457="","Falta IVA",ROUND(G457*(1+H457/100),2))))</f>
        <v/>
      </c>
      <c r="K457" s="27">
        <f>IF(G457="","",IF(NOT(ISNUMBER(G457)),"Revisa",IF(H457="","Falta IVA",ROUND(G457*(1+(H457+IF(H457=21,5.2,IF(H457=10,1.4,IF(H457=4,0.5,0))))/100),2))))</f>
        <v/>
      </c>
      <c r="L457" s="27">
        <f>IF(G457="","",IF(NOT(ISNUMBER(G457)),"Revisa",ROUND(ROUND(G457*(1+N($K$8)/100)/$O$7,0)*$O$7,2)))</f>
        <v/>
      </c>
      <c r="M457" s="27">
        <f>IF(G457="","",IF(NOT(ISNUMBER(G457)),"Revisa",ROUND(ROUND(G457*(1+N($K$9)/100)/$O$7,0)*$O$7,2)))</f>
        <v/>
      </c>
      <c r="N457" s="27">
        <f>IF(G457="","",IF(NOT(ISNUMBER(G457)),"Revisa",ROUND(ROUND(G457*(1+N($K$10)/100)/$O$7,0)*$O$7,2)))</f>
        <v/>
      </c>
      <c r="O457">
        <f>IF(B457="","",MAX($O$12:O456)+1)</f>
        <v/>
      </c>
      <c r="P457">
        <f>IF(AND(B457="",G457&lt;&gt;""),1,0)</f>
        <v/>
      </c>
    </row>
    <row r="458">
      <c r="A458" s="21" t="n"/>
      <c r="B458" s="21" t="n"/>
      <c r="C458" s="21" t="n"/>
      <c r="D458" s="22" t="n"/>
      <c r="E458" s="21" t="n"/>
      <c r="F458" s="23" t="n"/>
      <c r="G458" s="24" t="n"/>
      <c r="H458" s="25" t="n"/>
      <c r="I458" s="26">
        <f>IF(OR(NOT(ISNUMBER(G458)),N(D458)&lt;=1),"",ROUND(G458/D458,3))</f>
        <v/>
      </c>
      <c r="J458" s="27">
        <f>IF(G458="","",IF(NOT(ISNUMBER(G458)),"Revisa",IF(H458="","Falta IVA",ROUND(G458*(1+H458/100),2))))</f>
        <v/>
      </c>
      <c r="K458" s="27">
        <f>IF(G458="","",IF(NOT(ISNUMBER(G458)),"Revisa",IF(H458="","Falta IVA",ROUND(G458*(1+(H458+IF(H458=21,5.2,IF(H458=10,1.4,IF(H458=4,0.5,0))))/100),2))))</f>
        <v/>
      </c>
      <c r="L458" s="27">
        <f>IF(G458="","",IF(NOT(ISNUMBER(G458)),"Revisa",ROUND(ROUND(G458*(1+N($K$8)/100)/$O$7,0)*$O$7,2)))</f>
        <v/>
      </c>
      <c r="M458" s="27">
        <f>IF(G458="","",IF(NOT(ISNUMBER(G458)),"Revisa",ROUND(ROUND(G458*(1+N($K$9)/100)/$O$7,0)*$O$7,2)))</f>
        <v/>
      </c>
      <c r="N458" s="27">
        <f>IF(G458="","",IF(NOT(ISNUMBER(G458)),"Revisa",ROUND(ROUND(G458*(1+N($K$10)/100)/$O$7,0)*$O$7,2)))</f>
        <v/>
      </c>
      <c r="O458">
        <f>IF(B458="","",MAX($O$12:O457)+1)</f>
        <v/>
      </c>
      <c r="P458">
        <f>IF(AND(B458="",G458&lt;&gt;""),1,0)</f>
        <v/>
      </c>
    </row>
    <row r="459">
      <c r="A459" s="21" t="n"/>
      <c r="B459" s="21" t="n"/>
      <c r="C459" s="21" t="n"/>
      <c r="D459" s="22" t="n"/>
      <c r="E459" s="21" t="n"/>
      <c r="F459" s="23" t="n"/>
      <c r="G459" s="24" t="n"/>
      <c r="H459" s="25" t="n"/>
      <c r="I459" s="26">
        <f>IF(OR(NOT(ISNUMBER(G459)),N(D459)&lt;=1),"",ROUND(G459/D459,3))</f>
        <v/>
      </c>
      <c r="J459" s="27">
        <f>IF(G459="","",IF(NOT(ISNUMBER(G459)),"Revisa",IF(H459="","Falta IVA",ROUND(G459*(1+H459/100),2))))</f>
        <v/>
      </c>
      <c r="K459" s="27">
        <f>IF(G459="","",IF(NOT(ISNUMBER(G459)),"Revisa",IF(H459="","Falta IVA",ROUND(G459*(1+(H459+IF(H459=21,5.2,IF(H459=10,1.4,IF(H459=4,0.5,0))))/100),2))))</f>
        <v/>
      </c>
      <c r="L459" s="27">
        <f>IF(G459="","",IF(NOT(ISNUMBER(G459)),"Revisa",ROUND(ROUND(G459*(1+N($K$8)/100)/$O$7,0)*$O$7,2)))</f>
        <v/>
      </c>
      <c r="M459" s="27">
        <f>IF(G459="","",IF(NOT(ISNUMBER(G459)),"Revisa",ROUND(ROUND(G459*(1+N($K$9)/100)/$O$7,0)*$O$7,2)))</f>
        <v/>
      </c>
      <c r="N459" s="27">
        <f>IF(G459="","",IF(NOT(ISNUMBER(G459)),"Revisa",ROUND(ROUND(G459*(1+N($K$10)/100)/$O$7,0)*$O$7,2)))</f>
        <v/>
      </c>
      <c r="O459">
        <f>IF(B459="","",MAX($O$12:O458)+1)</f>
        <v/>
      </c>
      <c r="P459">
        <f>IF(AND(B459="",G459&lt;&gt;""),1,0)</f>
        <v/>
      </c>
    </row>
    <row r="460">
      <c r="A460" s="21" t="n"/>
      <c r="B460" s="21" t="n"/>
      <c r="C460" s="21" t="n"/>
      <c r="D460" s="22" t="n"/>
      <c r="E460" s="21" t="n"/>
      <c r="F460" s="23" t="n"/>
      <c r="G460" s="24" t="n"/>
      <c r="H460" s="25" t="n"/>
      <c r="I460" s="26">
        <f>IF(OR(NOT(ISNUMBER(G460)),N(D460)&lt;=1),"",ROUND(G460/D460,3))</f>
        <v/>
      </c>
      <c r="J460" s="27">
        <f>IF(G460="","",IF(NOT(ISNUMBER(G460)),"Revisa",IF(H460="","Falta IVA",ROUND(G460*(1+H460/100),2))))</f>
        <v/>
      </c>
      <c r="K460" s="27">
        <f>IF(G460="","",IF(NOT(ISNUMBER(G460)),"Revisa",IF(H460="","Falta IVA",ROUND(G460*(1+(H460+IF(H460=21,5.2,IF(H460=10,1.4,IF(H460=4,0.5,0))))/100),2))))</f>
        <v/>
      </c>
      <c r="L460" s="27">
        <f>IF(G460="","",IF(NOT(ISNUMBER(G460)),"Revisa",ROUND(ROUND(G460*(1+N($K$8)/100)/$O$7,0)*$O$7,2)))</f>
        <v/>
      </c>
      <c r="M460" s="27">
        <f>IF(G460="","",IF(NOT(ISNUMBER(G460)),"Revisa",ROUND(ROUND(G460*(1+N($K$9)/100)/$O$7,0)*$O$7,2)))</f>
        <v/>
      </c>
      <c r="N460" s="27">
        <f>IF(G460="","",IF(NOT(ISNUMBER(G460)),"Revisa",ROUND(ROUND(G460*(1+N($K$10)/100)/$O$7,0)*$O$7,2)))</f>
        <v/>
      </c>
      <c r="O460">
        <f>IF(B460="","",MAX($O$12:O459)+1)</f>
        <v/>
      </c>
      <c r="P460">
        <f>IF(AND(B460="",G460&lt;&gt;""),1,0)</f>
        <v/>
      </c>
    </row>
    <row r="461">
      <c r="A461" s="21" t="n"/>
      <c r="B461" s="21" t="n"/>
      <c r="C461" s="21" t="n"/>
      <c r="D461" s="22" t="n"/>
      <c r="E461" s="21" t="n"/>
      <c r="F461" s="23" t="n"/>
      <c r="G461" s="24" t="n"/>
      <c r="H461" s="25" t="n"/>
      <c r="I461" s="26">
        <f>IF(OR(NOT(ISNUMBER(G461)),N(D461)&lt;=1),"",ROUND(G461/D461,3))</f>
        <v/>
      </c>
      <c r="J461" s="27">
        <f>IF(G461="","",IF(NOT(ISNUMBER(G461)),"Revisa",IF(H461="","Falta IVA",ROUND(G461*(1+H461/100),2))))</f>
        <v/>
      </c>
      <c r="K461" s="27">
        <f>IF(G461="","",IF(NOT(ISNUMBER(G461)),"Revisa",IF(H461="","Falta IVA",ROUND(G461*(1+(H461+IF(H461=21,5.2,IF(H461=10,1.4,IF(H461=4,0.5,0))))/100),2))))</f>
        <v/>
      </c>
      <c r="L461" s="27">
        <f>IF(G461="","",IF(NOT(ISNUMBER(G461)),"Revisa",ROUND(ROUND(G461*(1+N($K$8)/100)/$O$7,0)*$O$7,2)))</f>
        <v/>
      </c>
      <c r="M461" s="27">
        <f>IF(G461="","",IF(NOT(ISNUMBER(G461)),"Revisa",ROUND(ROUND(G461*(1+N($K$9)/100)/$O$7,0)*$O$7,2)))</f>
        <v/>
      </c>
      <c r="N461" s="27">
        <f>IF(G461="","",IF(NOT(ISNUMBER(G461)),"Revisa",ROUND(ROUND(G461*(1+N($K$10)/100)/$O$7,0)*$O$7,2)))</f>
        <v/>
      </c>
      <c r="O461">
        <f>IF(B461="","",MAX($O$12:O460)+1)</f>
        <v/>
      </c>
      <c r="P461">
        <f>IF(AND(B461="",G461&lt;&gt;""),1,0)</f>
        <v/>
      </c>
    </row>
    <row r="462">
      <c r="A462" s="21" t="n"/>
      <c r="B462" s="21" t="n"/>
      <c r="C462" s="21" t="n"/>
      <c r="D462" s="22" t="n"/>
      <c r="E462" s="21" t="n"/>
      <c r="F462" s="23" t="n"/>
      <c r="G462" s="24" t="n"/>
      <c r="H462" s="25" t="n"/>
      <c r="I462" s="26">
        <f>IF(OR(NOT(ISNUMBER(G462)),N(D462)&lt;=1),"",ROUND(G462/D462,3))</f>
        <v/>
      </c>
      <c r="J462" s="27">
        <f>IF(G462="","",IF(NOT(ISNUMBER(G462)),"Revisa",IF(H462="","Falta IVA",ROUND(G462*(1+H462/100),2))))</f>
        <v/>
      </c>
      <c r="K462" s="27">
        <f>IF(G462="","",IF(NOT(ISNUMBER(G462)),"Revisa",IF(H462="","Falta IVA",ROUND(G462*(1+(H462+IF(H462=21,5.2,IF(H462=10,1.4,IF(H462=4,0.5,0))))/100),2))))</f>
        <v/>
      </c>
      <c r="L462" s="27">
        <f>IF(G462="","",IF(NOT(ISNUMBER(G462)),"Revisa",ROUND(ROUND(G462*(1+N($K$8)/100)/$O$7,0)*$O$7,2)))</f>
        <v/>
      </c>
      <c r="M462" s="27">
        <f>IF(G462="","",IF(NOT(ISNUMBER(G462)),"Revisa",ROUND(ROUND(G462*(1+N($K$9)/100)/$O$7,0)*$O$7,2)))</f>
        <v/>
      </c>
      <c r="N462" s="27">
        <f>IF(G462="","",IF(NOT(ISNUMBER(G462)),"Revisa",ROUND(ROUND(G462*(1+N($K$10)/100)/$O$7,0)*$O$7,2)))</f>
        <v/>
      </c>
      <c r="O462">
        <f>IF(B462="","",MAX($O$12:O461)+1)</f>
        <v/>
      </c>
      <c r="P462">
        <f>IF(AND(B462="",G462&lt;&gt;""),1,0)</f>
        <v/>
      </c>
    </row>
    <row r="463">
      <c r="A463" s="21" t="n"/>
      <c r="B463" s="21" t="n"/>
      <c r="C463" s="21" t="n"/>
      <c r="D463" s="22" t="n"/>
      <c r="E463" s="21" t="n"/>
      <c r="F463" s="23" t="n"/>
      <c r="G463" s="24" t="n"/>
      <c r="H463" s="25" t="n"/>
      <c r="I463" s="26">
        <f>IF(OR(NOT(ISNUMBER(G463)),N(D463)&lt;=1),"",ROUND(G463/D463,3))</f>
        <v/>
      </c>
      <c r="J463" s="27">
        <f>IF(G463="","",IF(NOT(ISNUMBER(G463)),"Revisa",IF(H463="","Falta IVA",ROUND(G463*(1+H463/100),2))))</f>
        <v/>
      </c>
      <c r="K463" s="27">
        <f>IF(G463="","",IF(NOT(ISNUMBER(G463)),"Revisa",IF(H463="","Falta IVA",ROUND(G463*(1+(H463+IF(H463=21,5.2,IF(H463=10,1.4,IF(H463=4,0.5,0))))/100),2))))</f>
        <v/>
      </c>
      <c r="L463" s="27">
        <f>IF(G463="","",IF(NOT(ISNUMBER(G463)),"Revisa",ROUND(ROUND(G463*(1+N($K$8)/100)/$O$7,0)*$O$7,2)))</f>
        <v/>
      </c>
      <c r="M463" s="27">
        <f>IF(G463="","",IF(NOT(ISNUMBER(G463)),"Revisa",ROUND(ROUND(G463*(1+N($K$9)/100)/$O$7,0)*$O$7,2)))</f>
        <v/>
      </c>
      <c r="N463" s="27">
        <f>IF(G463="","",IF(NOT(ISNUMBER(G463)),"Revisa",ROUND(ROUND(G463*(1+N($K$10)/100)/$O$7,0)*$O$7,2)))</f>
        <v/>
      </c>
      <c r="O463">
        <f>IF(B463="","",MAX($O$12:O462)+1)</f>
        <v/>
      </c>
      <c r="P463">
        <f>IF(AND(B463="",G463&lt;&gt;""),1,0)</f>
        <v/>
      </c>
    </row>
    <row r="464">
      <c r="A464" s="21" t="n"/>
      <c r="B464" s="21" t="n"/>
      <c r="C464" s="21" t="n"/>
      <c r="D464" s="22" t="n"/>
      <c r="E464" s="21" t="n"/>
      <c r="F464" s="23" t="n"/>
      <c r="G464" s="24" t="n"/>
      <c r="H464" s="25" t="n"/>
      <c r="I464" s="26">
        <f>IF(OR(NOT(ISNUMBER(G464)),N(D464)&lt;=1),"",ROUND(G464/D464,3))</f>
        <v/>
      </c>
      <c r="J464" s="27">
        <f>IF(G464="","",IF(NOT(ISNUMBER(G464)),"Revisa",IF(H464="","Falta IVA",ROUND(G464*(1+H464/100),2))))</f>
        <v/>
      </c>
      <c r="K464" s="27">
        <f>IF(G464="","",IF(NOT(ISNUMBER(G464)),"Revisa",IF(H464="","Falta IVA",ROUND(G464*(1+(H464+IF(H464=21,5.2,IF(H464=10,1.4,IF(H464=4,0.5,0))))/100),2))))</f>
        <v/>
      </c>
      <c r="L464" s="27">
        <f>IF(G464="","",IF(NOT(ISNUMBER(G464)),"Revisa",ROUND(ROUND(G464*(1+N($K$8)/100)/$O$7,0)*$O$7,2)))</f>
        <v/>
      </c>
      <c r="M464" s="27">
        <f>IF(G464="","",IF(NOT(ISNUMBER(G464)),"Revisa",ROUND(ROUND(G464*(1+N($K$9)/100)/$O$7,0)*$O$7,2)))</f>
        <v/>
      </c>
      <c r="N464" s="27">
        <f>IF(G464="","",IF(NOT(ISNUMBER(G464)),"Revisa",ROUND(ROUND(G464*(1+N($K$10)/100)/$O$7,0)*$O$7,2)))</f>
        <v/>
      </c>
      <c r="O464">
        <f>IF(B464="","",MAX($O$12:O463)+1)</f>
        <v/>
      </c>
      <c r="P464">
        <f>IF(AND(B464="",G464&lt;&gt;""),1,0)</f>
        <v/>
      </c>
    </row>
    <row r="465">
      <c r="A465" s="21" t="n"/>
      <c r="B465" s="21" t="n"/>
      <c r="C465" s="21" t="n"/>
      <c r="D465" s="22" t="n"/>
      <c r="E465" s="21" t="n"/>
      <c r="F465" s="23" t="n"/>
      <c r="G465" s="24" t="n"/>
      <c r="H465" s="25" t="n"/>
      <c r="I465" s="26">
        <f>IF(OR(NOT(ISNUMBER(G465)),N(D465)&lt;=1),"",ROUND(G465/D465,3))</f>
        <v/>
      </c>
      <c r="J465" s="27">
        <f>IF(G465="","",IF(NOT(ISNUMBER(G465)),"Revisa",IF(H465="","Falta IVA",ROUND(G465*(1+H465/100),2))))</f>
        <v/>
      </c>
      <c r="K465" s="27">
        <f>IF(G465="","",IF(NOT(ISNUMBER(G465)),"Revisa",IF(H465="","Falta IVA",ROUND(G465*(1+(H465+IF(H465=21,5.2,IF(H465=10,1.4,IF(H465=4,0.5,0))))/100),2))))</f>
        <v/>
      </c>
      <c r="L465" s="27">
        <f>IF(G465="","",IF(NOT(ISNUMBER(G465)),"Revisa",ROUND(ROUND(G465*(1+N($K$8)/100)/$O$7,0)*$O$7,2)))</f>
        <v/>
      </c>
      <c r="M465" s="27">
        <f>IF(G465="","",IF(NOT(ISNUMBER(G465)),"Revisa",ROUND(ROUND(G465*(1+N($K$9)/100)/$O$7,0)*$O$7,2)))</f>
        <v/>
      </c>
      <c r="N465" s="27">
        <f>IF(G465="","",IF(NOT(ISNUMBER(G465)),"Revisa",ROUND(ROUND(G465*(1+N($K$10)/100)/$O$7,0)*$O$7,2)))</f>
        <v/>
      </c>
      <c r="O465">
        <f>IF(B465="","",MAX($O$12:O464)+1)</f>
        <v/>
      </c>
      <c r="P465">
        <f>IF(AND(B465="",G465&lt;&gt;""),1,0)</f>
        <v/>
      </c>
    </row>
    <row r="466">
      <c r="A466" s="21" t="n"/>
      <c r="B466" s="21" t="n"/>
      <c r="C466" s="21" t="n"/>
      <c r="D466" s="22" t="n"/>
      <c r="E466" s="21" t="n"/>
      <c r="F466" s="23" t="n"/>
      <c r="G466" s="24" t="n"/>
      <c r="H466" s="25" t="n"/>
      <c r="I466" s="26">
        <f>IF(OR(NOT(ISNUMBER(G466)),N(D466)&lt;=1),"",ROUND(G466/D466,3))</f>
        <v/>
      </c>
      <c r="J466" s="27">
        <f>IF(G466="","",IF(NOT(ISNUMBER(G466)),"Revisa",IF(H466="","Falta IVA",ROUND(G466*(1+H466/100),2))))</f>
        <v/>
      </c>
      <c r="K466" s="27">
        <f>IF(G466="","",IF(NOT(ISNUMBER(G466)),"Revisa",IF(H466="","Falta IVA",ROUND(G466*(1+(H466+IF(H466=21,5.2,IF(H466=10,1.4,IF(H466=4,0.5,0))))/100),2))))</f>
        <v/>
      </c>
      <c r="L466" s="27">
        <f>IF(G466="","",IF(NOT(ISNUMBER(G466)),"Revisa",ROUND(ROUND(G466*(1+N($K$8)/100)/$O$7,0)*$O$7,2)))</f>
        <v/>
      </c>
      <c r="M466" s="27">
        <f>IF(G466="","",IF(NOT(ISNUMBER(G466)),"Revisa",ROUND(ROUND(G466*(1+N($K$9)/100)/$O$7,0)*$O$7,2)))</f>
        <v/>
      </c>
      <c r="N466" s="27">
        <f>IF(G466="","",IF(NOT(ISNUMBER(G466)),"Revisa",ROUND(ROUND(G466*(1+N($K$10)/100)/$O$7,0)*$O$7,2)))</f>
        <v/>
      </c>
      <c r="O466">
        <f>IF(B466="","",MAX($O$12:O465)+1)</f>
        <v/>
      </c>
      <c r="P466">
        <f>IF(AND(B466="",G466&lt;&gt;""),1,0)</f>
        <v/>
      </c>
    </row>
    <row r="467">
      <c r="A467" s="21" t="n"/>
      <c r="B467" s="21" t="n"/>
      <c r="C467" s="21" t="n"/>
      <c r="D467" s="22" t="n"/>
      <c r="E467" s="21" t="n"/>
      <c r="F467" s="23" t="n"/>
      <c r="G467" s="24" t="n"/>
      <c r="H467" s="25" t="n"/>
      <c r="I467" s="26">
        <f>IF(OR(NOT(ISNUMBER(G467)),N(D467)&lt;=1),"",ROUND(G467/D467,3))</f>
        <v/>
      </c>
      <c r="J467" s="27">
        <f>IF(G467="","",IF(NOT(ISNUMBER(G467)),"Revisa",IF(H467="","Falta IVA",ROUND(G467*(1+H467/100),2))))</f>
        <v/>
      </c>
      <c r="K467" s="27">
        <f>IF(G467="","",IF(NOT(ISNUMBER(G467)),"Revisa",IF(H467="","Falta IVA",ROUND(G467*(1+(H467+IF(H467=21,5.2,IF(H467=10,1.4,IF(H467=4,0.5,0))))/100),2))))</f>
        <v/>
      </c>
      <c r="L467" s="27">
        <f>IF(G467="","",IF(NOT(ISNUMBER(G467)),"Revisa",ROUND(ROUND(G467*(1+N($K$8)/100)/$O$7,0)*$O$7,2)))</f>
        <v/>
      </c>
      <c r="M467" s="27">
        <f>IF(G467="","",IF(NOT(ISNUMBER(G467)),"Revisa",ROUND(ROUND(G467*(1+N($K$9)/100)/$O$7,0)*$O$7,2)))</f>
        <v/>
      </c>
      <c r="N467" s="27">
        <f>IF(G467="","",IF(NOT(ISNUMBER(G467)),"Revisa",ROUND(ROUND(G467*(1+N($K$10)/100)/$O$7,0)*$O$7,2)))</f>
        <v/>
      </c>
      <c r="O467">
        <f>IF(B467="","",MAX($O$12:O466)+1)</f>
        <v/>
      </c>
      <c r="P467">
        <f>IF(AND(B467="",G467&lt;&gt;""),1,0)</f>
        <v/>
      </c>
    </row>
    <row r="468">
      <c r="A468" s="21" t="n"/>
      <c r="B468" s="21" t="n"/>
      <c r="C468" s="21" t="n"/>
      <c r="D468" s="22" t="n"/>
      <c r="E468" s="21" t="n"/>
      <c r="F468" s="23" t="n"/>
      <c r="G468" s="24" t="n"/>
      <c r="H468" s="25" t="n"/>
      <c r="I468" s="26">
        <f>IF(OR(NOT(ISNUMBER(G468)),N(D468)&lt;=1),"",ROUND(G468/D468,3))</f>
        <v/>
      </c>
      <c r="J468" s="27">
        <f>IF(G468="","",IF(NOT(ISNUMBER(G468)),"Revisa",IF(H468="","Falta IVA",ROUND(G468*(1+H468/100),2))))</f>
        <v/>
      </c>
      <c r="K468" s="27">
        <f>IF(G468="","",IF(NOT(ISNUMBER(G468)),"Revisa",IF(H468="","Falta IVA",ROUND(G468*(1+(H468+IF(H468=21,5.2,IF(H468=10,1.4,IF(H468=4,0.5,0))))/100),2))))</f>
        <v/>
      </c>
      <c r="L468" s="27">
        <f>IF(G468="","",IF(NOT(ISNUMBER(G468)),"Revisa",ROUND(ROUND(G468*(1+N($K$8)/100)/$O$7,0)*$O$7,2)))</f>
        <v/>
      </c>
      <c r="M468" s="27">
        <f>IF(G468="","",IF(NOT(ISNUMBER(G468)),"Revisa",ROUND(ROUND(G468*(1+N($K$9)/100)/$O$7,0)*$O$7,2)))</f>
        <v/>
      </c>
      <c r="N468" s="27">
        <f>IF(G468="","",IF(NOT(ISNUMBER(G468)),"Revisa",ROUND(ROUND(G468*(1+N($K$10)/100)/$O$7,0)*$O$7,2)))</f>
        <v/>
      </c>
      <c r="O468">
        <f>IF(B468="","",MAX($O$12:O467)+1)</f>
        <v/>
      </c>
      <c r="P468">
        <f>IF(AND(B468="",G468&lt;&gt;""),1,0)</f>
        <v/>
      </c>
    </row>
    <row r="469">
      <c r="A469" s="21" t="n"/>
      <c r="B469" s="21" t="n"/>
      <c r="C469" s="21" t="n"/>
      <c r="D469" s="22" t="n"/>
      <c r="E469" s="21" t="n"/>
      <c r="F469" s="23" t="n"/>
      <c r="G469" s="24" t="n"/>
      <c r="H469" s="25" t="n"/>
      <c r="I469" s="26">
        <f>IF(OR(NOT(ISNUMBER(G469)),N(D469)&lt;=1),"",ROUND(G469/D469,3))</f>
        <v/>
      </c>
      <c r="J469" s="27">
        <f>IF(G469="","",IF(NOT(ISNUMBER(G469)),"Revisa",IF(H469="","Falta IVA",ROUND(G469*(1+H469/100),2))))</f>
        <v/>
      </c>
      <c r="K469" s="27">
        <f>IF(G469="","",IF(NOT(ISNUMBER(G469)),"Revisa",IF(H469="","Falta IVA",ROUND(G469*(1+(H469+IF(H469=21,5.2,IF(H469=10,1.4,IF(H469=4,0.5,0))))/100),2))))</f>
        <v/>
      </c>
      <c r="L469" s="27">
        <f>IF(G469="","",IF(NOT(ISNUMBER(G469)),"Revisa",ROUND(ROUND(G469*(1+N($K$8)/100)/$O$7,0)*$O$7,2)))</f>
        <v/>
      </c>
      <c r="M469" s="27">
        <f>IF(G469="","",IF(NOT(ISNUMBER(G469)),"Revisa",ROUND(ROUND(G469*(1+N($K$9)/100)/$O$7,0)*$O$7,2)))</f>
        <v/>
      </c>
      <c r="N469" s="27">
        <f>IF(G469="","",IF(NOT(ISNUMBER(G469)),"Revisa",ROUND(ROUND(G469*(1+N($K$10)/100)/$O$7,0)*$O$7,2)))</f>
        <v/>
      </c>
      <c r="O469">
        <f>IF(B469="","",MAX($O$12:O468)+1)</f>
        <v/>
      </c>
      <c r="P469">
        <f>IF(AND(B469="",G469&lt;&gt;""),1,0)</f>
        <v/>
      </c>
    </row>
    <row r="470">
      <c r="A470" s="21" t="n"/>
      <c r="B470" s="21" t="n"/>
      <c r="C470" s="21" t="n"/>
      <c r="D470" s="22" t="n"/>
      <c r="E470" s="21" t="n"/>
      <c r="F470" s="23" t="n"/>
      <c r="G470" s="24" t="n"/>
      <c r="H470" s="25" t="n"/>
      <c r="I470" s="26">
        <f>IF(OR(NOT(ISNUMBER(G470)),N(D470)&lt;=1),"",ROUND(G470/D470,3))</f>
        <v/>
      </c>
      <c r="J470" s="27">
        <f>IF(G470="","",IF(NOT(ISNUMBER(G470)),"Revisa",IF(H470="","Falta IVA",ROUND(G470*(1+H470/100),2))))</f>
        <v/>
      </c>
      <c r="K470" s="27">
        <f>IF(G470="","",IF(NOT(ISNUMBER(G470)),"Revisa",IF(H470="","Falta IVA",ROUND(G470*(1+(H470+IF(H470=21,5.2,IF(H470=10,1.4,IF(H470=4,0.5,0))))/100),2))))</f>
        <v/>
      </c>
      <c r="L470" s="27">
        <f>IF(G470="","",IF(NOT(ISNUMBER(G470)),"Revisa",ROUND(ROUND(G470*(1+N($K$8)/100)/$O$7,0)*$O$7,2)))</f>
        <v/>
      </c>
      <c r="M470" s="27">
        <f>IF(G470="","",IF(NOT(ISNUMBER(G470)),"Revisa",ROUND(ROUND(G470*(1+N($K$9)/100)/$O$7,0)*$O$7,2)))</f>
        <v/>
      </c>
      <c r="N470" s="27">
        <f>IF(G470="","",IF(NOT(ISNUMBER(G470)),"Revisa",ROUND(ROUND(G470*(1+N($K$10)/100)/$O$7,0)*$O$7,2)))</f>
        <v/>
      </c>
      <c r="O470">
        <f>IF(B470="","",MAX($O$12:O469)+1)</f>
        <v/>
      </c>
      <c r="P470">
        <f>IF(AND(B470="",G470&lt;&gt;""),1,0)</f>
        <v/>
      </c>
    </row>
    <row r="471">
      <c r="A471" s="21" t="n"/>
      <c r="B471" s="21" t="n"/>
      <c r="C471" s="21" t="n"/>
      <c r="D471" s="22" t="n"/>
      <c r="E471" s="21" t="n"/>
      <c r="F471" s="23" t="n"/>
      <c r="G471" s="24" t="n"/>
      <c r="H471" s="25" t="n"/>
      <c r="I471" s="26">
        <f>IF(OR(NOT(ISNUMBER(G471)),N(D471)&lt;=1),"",ROUND(G471/D471,3))</f>
        <v/>
      </c>
      <c r="J471" s="27">
        <f>IF(G471="","",IF(NOT(ISNUMBER(G471)),"Revisa",IF(H471="","Falta IVA",ROUND(G471*(1+H471/100),2))))</f>
        <v/>
      </c>
      <c r="K471" s="27">
        <f>IF(G471="","",IF(NOT(ISNUMBER(G471)),"Revisa",IF(H471="","Falta IVA",ROUND(G471*(1+(H471+IF(H471=21,5.2,IF(H471=10,1.4,IF(H471=4,0.5,0))))/100),2))))</f>
        <v/>
      </c>
      <c r="L471" s="27">
        <f>IF(G471="","",IF(NOT(ISNUMBER(G471)),"Revisa",ROUND(ROUND(G471*(1+N($K$8)/100)/$O$7,0)*$O$7,2)))</f>
        <v/>
      </c>
      <c r="M471" s="27">
        <f>IF(G471="","",IF(NOT(ISNUMBER(G471)),"Revisa",ROUND(ROUND(G471*(1+N($K$9)/100)/$O$7,0)*$O$7,2)))</f>
        <v/>
      </c>
      <c r="N471" s="27">
        <f>IF(G471="","",IF(NOT(ISNUMBER(G471)),"Revisa",ROUND(ROUND(G471*(1+N($K$10)/100)/$O$7,0)*$O$7,2)))</f>
        <v/>
      </c>
      <c r="O471">
        <f>IF(B471="","",MAX($O$12:O470)+1)</f>
        <v/>
      </c>
      <c r="P471">
        <f>IF(AND(B471="",G471&lt;&gt;""),1,0)</f>
        <v/>
      </c>
    </row>
    <row r="472">
      <c r="A472" s="21" t="n"/>
      <c r="B472" s="21" t="n"/>
      <c r="C472" s="21" t="n"/>
      <c r="D472" s="22" t="n"/>
      <c r="E472" s="21" t="n"/>
      <c r="F472" s="23" t="n"/>
      <c r="G472" s="24" t="n"/>
      <c r="H472" s="25" t="n"/>
      <c r="I472" s="26">
        <f>IF(OR(NOT(ISNUMBER(G472)),N(D472)&lt;=1),"",ROUND(G472/D472,3))</f>
        <v/>
      </c>
      <c r="J472" s="27">
        <f>IF(G472="","",IF(NOT(ISNUMBER(G472)),"Revisa",IF(H472="","Falta IVA",ROUND(G472*(1+H472/100),2))))</f>
        <v/>
      </c>
      <c r="K472" s="27">
        <f>IF(G472="","",IF(NOT(ISNUMBER(G472)),"Revisa",IF(H472="","Falta IVA",ROUND(G472*(1+(H472+IF(H472=21,5.2,IF(H472=10,1.4,IF(H472=4,0.5,0))))/100),2))))</f>
        <v/>
      </c>
      <c r="L472" s="27">
        <f>IF(G472="","",IF(NOT(ISNUMBER(G472)),"Revisa",ROUND(ROUND(G472*(1+N($K$8)/100)/$O$7,0)*$O$7,2)))</f>
        <v/>
      </c>
      <c r="M472" s="27">
        <f>IF(G472="","",IF(NOT(ISNUMBER(G472)),"Revisa",ROUND(ROUND(G472*(1+N($K$9)/100)/$O$7,0)*$O$7,2)))</f>
        <v/>
      </c>
      <c r="N472" s="27">
        <f>IF(G472="","",IF(NOT(ISNUMBER(G472)),"Revisa",ROUND(ROUND(G472*(1+N($K$10)/100)/$O$7,0)*$O$7,2)))</f>
        <v/>
      </c>
      <c r="O472">
        <f>IF(B472="","",MAX($O$12:O471)+1)</f>
        <v/>
      </c>
      <c r="P472">
        <f>IF(AND(B472="",G472&lt;&gt;""),1,0)</f>
        <v/>
      </c>
    </row>
    <row r="473">
      <c r="A473" s="21" t="n"/>
      <c r="B473" s="21" t="n"/>
      <c r="C473" s="21" t="n"/>
      <c r="D473" s="22" t="n"/>
      <c r="E473" s="21" t="n"/>
      <c r="F473" s="23" t="n"/>
      <c r="G473" s="24" t="n"/>
      <c r="H473" s="25" t="n"/>
      <c r="I473" s="26">
        <f>IF(OR(NOT(ISNUMBER(G473)),N(D473)&lt;=1),"",ROUND(G473/D473,3))</f>
        <v/>
      </c>
      <c r="J473" s="27">
        <f>IF(G473="","",IF(NOT(ISNUMBER(G473)),"Revisa",IF(H473="","Falta IVA",ROUND(G473*(1+H473/100),2))))</f>
        <v/>
      </c>
      <c r="K473" s="27">
        <f>IF(G473="","",IF(NOT(ISNUMBER(G473)),"Revisa",IF(H473="","Falta IVA",ROUND(G473*(1+(H473+IF(H473=21,5.2,IF(H473=10,1.4,IF(H473=4,0.5,0))))/100),2))))</f>
        <v/>
      </c>
      <c r="L473" s="27">
        <f>IF(G473="","",IF(NOT(ISNUMBER(G473)),"Revisa",ROUND(ROUND(G473*(1+N($K$8)/100)/$O$7,0)*$O$7,2)))</f>
        <v/>
      </c>
      <c r="M473" s="27">
        <f>IF(G473="","",IF(NOT(ISNUMBER(G473)),"Revisa",ROUND(ROUND(G473*(1+N($K$9)/100)/$O$7,0)*$O$7,2)))</f>
        <v/>
      </c>
      <c r="N473" s="27">
        <f>IF(G473="","",IF(NOT(ISNUMBER(G473)),"Revisa",ROUND(ROUND(G473*(1+N($K$10)/100)/$O$7,0)*$O$7,2)))</f>
        <v/>
      </c>
      <c r="O473">
        <f>IF(B473="","",MAX($O$12:O472)+1)</f>
        <v/>
      </c>
      <c r="P473">
        <f>IF(AND(B473="",G473&lt;&gt;""),1,0)</f>
        <v/>
      </c>
    </row>
    <row r="474">
      <c r="A474" s="21" t="n"/>
      <c r="B474" s="21" t="n"/>
      <c r="C474" s="21" t="n"/>
      <c r="D474" s="22" t="n"/>
      <c r="E474" s="21" t="n"/>
      <c r="F474" s="23" t="n"/>
      <c r="G474" s="24" t="n"/>
      <c r="H474" s="25" t="n"/>
      <c r="I474" s="26">
        <f>IF(OR(NOT(ISNUMBER(G474)),N(D474)&lt;=1),"",ROUND(G474/D474,3))</f>
        <v/>
      </c>
      <c r="J474" s="27">
        <f>IF(G474="","",IF(NOT(ISNUMBER(G474)),"Revisa",IF(H474="","Falta IVA",ROUND(G474*(1+H474/100),2))))</f>
        <v/>
      </c>
      <c r="K474" s="27">
        <f>IF(G474="","",IF(NOT(ISNUMBER(G474)),"Revisa",IF(H474="","Falta IVA",ROUND(G474*(1+(H474+IF(H474=21,5.2,IF(H474=10,1.4,IF(H474=4,0.5,0))))/100),2))))</f>
        <v/>
      </c>
      <c r="L474" s="27">
        <f>IF(G474="","",IF(NOT(ISNUMBER(G474)),"Revisa",ROUND(ROUND(G474*(1+N($K$8)/100)/$O$7,0)*$O$7,2)))</f>
        <v/>
      </c>
      <c r="M474" s="27">
        <f>IF(G474="","",IF(NOT(ISNUMBER(G474)),"Revisa",ROUND(ROUND(G474*(1+N($K$9)/100)/$O$7,0)*$O$7,2)))</f>
        <v/>
      </c>
      <c r="N474" s="27">
        <f>IF(G474="","",IF(NOT(ISNUMBER(G474)),"Revisa",ROUND(ROUND(G474*(1+N($K$10)/100)/$O$7,0)*$O$7,2)))</f>
        <v/>
      </c>
      <c r="O474">
        <f>IF(B474="","",MAX($O$12:O473)+1)</f>
        <v/>
      </c>
      <c r="P474">
        <f>IF(AND(B474="",G474&lt;&gt;""),1,0)</f>
        <v/>
      </c>
    </row>
    <row r="475">
      <c r="A475" s="21" t="n"/>
      <c r="B475" s="21" t="n"/>
      <c r="C475" s="21" t="n"/>
      <c r="D475" s="22" t="n"/>
      <c r="E475" s="21" t="n"/>
      <c r="F475" s="23" t="n"/>
      <c r="G475" s="24" t="n"/>
      <c r="H475" s="25" t="n"/>
      <c r="I475" s="26">
        <f>IF(OR(NOT(ISNUMBER(G475)),N(D475)&lt;=1),"",ROUND(G475/D475,3))</f>
        <v/>
      </c>
      <c r="J475" s="27">
        <f>IF(G475="","",IF(NOT(ISNUMBER(G475)),"Revisa",IF(H475="","Falta IVA",ROUND(G475*(1+H475/100),2))))</f>
        <v/>
      </c>
      <c r="K475" s="27">
        <f>IF(G475="","",IF(NOT(ISNUMBER(G475)),"Revisa",IF(H475="","Falta IVA",ROUND(G475*(1+(H475+IF(H475=21,5.2,IF(H475=10,1.4,IF(H475=4,0.5,0))))/100),2))))</f>
        <v/>
      </c>
      <c r="L475" s="27">
        <f>IF(G475="","",IF(NOT(ISNUMBER(G475)),"Revisa",ROUND(ROUND(G475*(1+N($K$8)/100)/$O$7,0)*$O$7,2)))</f>
        <v/>
      </c>
      <c r="M475" s="27">
        <f>IF(G475="","",IF(NOT(ISNUMBER(G475)),"Revisa",ROUND(ROUND(G475*(1+N($K$9)/100)/$O$7,0)*$O$7,2)))</f>
        <v/>
      </c>
      <c r="N475" s="27">
        <f>IF(G475="","",IF(NOT(ISNUMBER(G475)),"Revisa",ROUND(ROUND(G475*(1+N($K$10)/100)/$O$7,0)*$O$7,2)))</f>
        <v/>
      </c>
      <c r="O475">
        <f>IF(B475="","",MAX($O$12:O474)+1)</f>
        <v/>
      </c>
      <c r="P475">
        <f>IF(AND(B475="",G475&lt;&gt;""),1,0)</f>
        <v/>
      </c>
    </row>
    <row r="476">
      <c r="A476" s="21" t="n"/>
      <c r="B476" s="21" t="n"/>
      <c r="C476" s="21" t="n"/>
      <c r="D476" s="22" t="n"/>
      <c r="E476" s="21" t="n"/>
      <c r="F476" s="23" t="n"/>
      <c r="G476" s="24" t="n"/>
      <c r="H476" s="25" t="n"/>
      <c r="I476" s="26">
        <f>IF(OR(NOT(ISNUMBER(G476)),N(D476)&lt;=1),"",ROUND(G476/D476,3))</f>
        <v/>
      </c>
      <c r="J476" s="27">
        <f>IF(G476="","",IF(NOT(ISNUMBER(G476)),"Revisa",IF(H476="","Falta IVA",ROUND(G476*(1+H476/100),2))))</f>
        <v/>
      </c>
      <c r="K476" s="27">
        <f>IF(G476="","",IF(NOT(ISNUMBER(G476)),"Revisa",IF(H476="","Falta IVA",ROUND(G476*(1+(H476+IF(H476=21,5.2,IF(H476=10,1.4,IF(H476=4,0.5,0))))/100),2))))</f>
        <v/>
      </c>
      <c r="L476" s="27">
        <f>IF(G476="","",IF(NOT(ISNUMBER(G476)),"Revisa",ROUND(ROUND(G476*(1+N($K$8)/100)/$O$7,0)*$O$7,2)))</f>
        <v/>
      </c>
      <c r="M476" s="27">
        <f>IF(G476="","",IF(NOT(ISNUMBER(G476)),"Revisa",ROUND(ROUND(G476*(1+N($K$9)/100)/$O$7,0)*$O$7,2)))</f>
        <v/>
      </c>
      <c r="N476" s="27">
        <f>IF(G476="","",IF(NOT(ISNUMBER(G476)),"Revisa",ROUND(ROUND(G476*(1+N($K$10)/100)/$O$7,0)*$O$7,2)))</f>
        <v/>
      </c>
      <c r="O476">
        <f>IF(B476="","",MAX($O$12:O475)+1)</f>
        <v/>
      </c>
      <c r="P476">
        <f>IF(AND(B476="",G476&lt;&gt;""),1,0)</f>
        <v/>
      </c>
    </row>
    <row r="477">
      <c r="A477" s="21" t="n"/>
      <c r="B477" s="21" t="n"/>
      <c r="C477" s="21" t="n"/>
      <c r="D477" s="22" t="n"/>
      <c r="E477" s="21" t="n"/>
      <c r="F477" s="23" t="n"/>
      <c r="G477" s="24" t="n"/>
      <c r="H477" s="25" t="n"/>
      <c r="I477" s="26">
        <f>IF(OR(NOT(ISNUMBER(G477)),N(D477)&lt;=1),"",ROUND(G477/D477,3))</f>
        <v/>
      </c>
      <c r="J477" s="27">
        <f>IF(G477="","",IF(NOT(ISNUMBER(G477)),"Revisa",IF(H477="","Falta IVA",ROUND(G477*(1+H477/100),2))))</f>
        <v/>
      </c>
      <c r="K477" s="27">
        <f>IF(G477="","",IF(NOT(ISNUMBER(G477)),"Revisa",IF(H477="","Falta IVA",ROUND(G477*(1+(H477+IF(H477=21,5.2,IF(H477=10,1.4,IF(H477=4,0.5,0))))/100),2))))</f>
        <v/>
      </c>
      <c r="L477" s="27">
        <f>IF(G477="","",IF(NOT(ISNUMBER(G477)),"Revisa",ROUND(ROUND(G477*(1+N($K$8)/100)/$O$7,0)*$O$7,2)))</f>
        <v/>
      </c>
      <c r="M477" s="27">
        <f>IF(G477="","",IF(NOT(ISNUMBER(G477)),"Revisa",ROUND(ROUND(G477*(1+N($K$9)/100)/$O$7,0)*$O$7,2)))</f>
        <v/>
      </c>
      <c r="N477" s="27">
        <f>IF(G477="","",IF(NOT(ISNUMBER(G477)),"Revisa",ROUND(ROUND(G477*(1+N($K$10)/100)/$O$7,0)*$O$7,2)))</f>
        <v/>
      </c>
      <c r="O477">
        <f>IF(B477="","",MAX($O$12:O476)+1)</f>
        <v/>
      </c>
      <c r="P477">
        <f>IF(AND(B477="",G477&lt;&gt;""),1,0)</f>
        <v/>
      </c>
    </row>
    <row r="478">
      <c r="A478" s="21" t="n"/>
      <c r="B478" s="21" t="n"/>
      <c r="C478" s="21" t="n"/>
      <c r="D478" s="22" t="n"/>
      <c r="E478" s="21" t="n"/>
      <c r="F478" s="23" t="n"/>
      <c r="G478" s="24" t="n"/>
      <c r="H478" s="25" t="n"/>
      <c r="I478" s="26">
        <f>IF(OR(NOT(ISNUMBER(G478)),N(D478)&lt;=1),"",ROUND(G478/D478,3))</f>
        <v/>
      </c>
      <c r="J478" s="27">
        <f>IF(G478="","",IF(NOT(ISNUMBER(G478)),"Revisa",IF(H478="","Falta IVA",ROUND(G478*(1+H478/100),2))))</f>
        <v/>
      </c>
      <c r="K478" s="27">
        <f>IF(G478="","",IF(NOT(ISNUMBER(G478)),"Revisa",IF(H478="","Falta IVA",ROUND(G478*(1+(H478+IF(H478=21,5.2,IF(H478=10,1.4,IF(H478=4,0.5,0))))/100),2))))</f>
        <v/>
      </c>
      <c r="L478" s="27">
        <f>IF(G478="","",IF(NOT(ISNUMBER(G478)),"Revisa",ROUND(ROUND(G478*(1+N($K$8)/100)/$O$7,0)*$O$7,2)))</f>
        <v/>
      </c>
      <c r="M478" s="27">
        <f>IF(G478="","",IF(NOT(ISNUMBER(G478)),"Revisa",ROUND(ROUND(G478*(1+N($K$9)/100)/$O$7,0)*$O$7,2)))</f>
        <v/>
      </c>
      <c r="N478" s="27">
        <f>IF(G478="","",IF(NOT(ISNUMBER(G478)),"Revisa",ROUND(ROUND(G478*(1+N($K$10)/100)/$O$7,0)*$O$7,2)))</f>
        <v/>
      </c>
      <c r="O478">
        <f>IF(B478="","",MAX($O$12:O477)+1)</f>
        <v/>
      </c>
      <c r="P478">
        <f>IF(AND(B478="",G478&lt;&gt;""),1,0)</f>
        <v/>
      </c>
    </row>
    <row r="479">
      <c r="A479" s="21" t="n"/>
      <c r="B479" s="21" t="n"/>
      <c r="C479" s="21" t="n"/>
      <c r="D479" s="22" t="n"/>
      <c r="E479" s="21" t="n"/>
      <c r="F479" s="23" t="n"/>
      <c r="G479" s="24" t="n"/>
      <c r="H479" s="25" t="n"/>
      <c r="I479" s="26">
        <f>IF(OR(NOT(ISNUMBER(G479)),N(D479)&lt;=1),"",ROUND(G479/D479,3))</f>
        <v/>
      </c>
      <c r="J479" s="27">
        <f>IF(G479="","",IF(NOT(ISNUMBER(G479)),"Revisa",IF(H479="","Falta IVA",ROUND(G479*(1+H479/100),2))))</f>
        <v/>
      </c>
      <c r="K479" s="27">
        <f>IF(G479="","",IF(NOT(ISNUMBER(G479)),"Revisa",IF(H479="","Falta IVA",ROUND(G479*(1+(H479+IF(H479=21,5.2,IF(H479=10,1.4,IF(H479=4,0.5,0))))/100),2))))</f>
        <v/>
      </c>
      <c r="L479" s="27">
        <f>IF(G479="","",IF(NOT(ISNUMBER(G479)),"Revisa",ROUND(ROUND(G479*(1+N($K$8)/100)/$O$7,0)*$O$7,2)))</f>
        <v/>
      </c>
      <c r="M479" s="27">
        <f>IF(G479="","",IF(NOT(ISNUMBER(G479)),"Revisa",ROUND(ROUND(G479*(1+N($K$9)/100)/$O$7,0)*$O$7,2)))</f>
        <v/>
      </c>
      <c r="N479" s="27">
        <f>IF(G479="","",IF(NOT(ISNUMBER(G479)),"Revisa",ROUND(ROUND(G479*(1+N($K$10)/100)/$O$7,0)*$O$7,2)))</f>
        <v/>
      </c>
      <c r="O479">
        <f>IF(B479="","",MAX($O$12:O478)+1)</f>
        <v/>
      </c>
      <c r="P479">
        <f>IF(AND(B479="",G479&lt;&gt;""),1,0)</f>
        <v/>
      </c>
    </row>
    <row r="480">
      <c r="A480" s="21" t="n"/>
      <c r="B480" s="21" t="n"/>
      <c r="C480" s="21" t="n"/>
      <c r="D480" s="22" t="n"/>
      <c r="E480" s="21" t="n"/>
      <c r="F480" s="23" t="n"/>
      <c r="G480" s="24" t="n"/>
      <c r="H480" s="25" t="n"/>
      <c r="I480" s="26">
        <f>IF(OR(NOT(ISNUMBER(G480)),N(D480)&lt;=1),"",ROUND(G480/D480,3))</f>
        <v/>
      </c>
      <c r="J480" s="27">
        <f>IF(G480="","",IF(NOT(ISNUMBER(G480)),"Revisa",IF(H480="","Falta IVA",ROUND(G480*(1+H480/100),2))))</f>
        <v/>
      </c>
      <c r="K480" s="27">
        <f>IF(G480="","",IF(NOT(ISNUMBER(G480)),"Revisa",IF(H480="","Falta IVA",ROUND(G480*(1+(H480+IF(H480=21,5.2,IF(H480=10,1.4,IF(H480=4,0.5,0))))/100),2))))</f>
        <v/>
      </c>
      <c r="L480" s="27">
        <f>IF(G480="","",IF(NOT(ISNUMBER(G480)),"Revisa",ROUND(ROUND(G480*(1+N($K$8)/100)/$O$7,0)*$O$7,2)))</f>
        <v/>
      </c>
      <c r="M480" s="27">
        <f>IF(G480="","",IF(NOT(ISNUMBER(G480)),"Revisa",ROUND(ROUND(G480*(1+N($K$9)/100)/$O$7,0)*$O$7,2)))</f>
        <v/>
      </c>
      <c r="N480" s="27">
        <f>IF(G480="","",IF(NOT(ISNUMBER(G480)),"Revisa",ROUND(ROUND(G480*(1+N($K$10)/100)/$O$7,0)*$O$7,2)))</f>
        <v/>
      </c>
      <c r="O480">
        <f>IF(B480="","",MAX($O$12:O479)+1)</f>
        <v/>
      </c>
      <c r="P480">
        <f>IF(AND(B480="",G480&lt;&gt;""),1,0)</f>
        <v/>
      </c>
    </row>
    <row r="481">
      <c r="A481" s="21" t="n"/>
      <c r="B481" s="21" t="n"/>
      <c r="C481" s="21" t="n"/>
      <c r="D481" s="22" t="n"/>
      <c r="E481" s="21" t="n"/>
      <c r="F481" s="23" t="n"/>
      <c r="G481" s="24" t="n"/>
      <c r="H481" s="25" t="n"/>
      <c r="I481" s="26">
        <f>IF(OR(NOT(ISNUMBER(G481)),N(D481)&lt;=1),"",ROUND(G481/D481,3))</f>
        <v/>
      </c>
      <c r="J481" s="27">
        <f>IF(G481="","",IF(NOT(ISNUMBER(G481)),"Revisa",IF(H481="","Falta IVA",ROUND(G481*(1+H481/100),2))))</f>
        <v/>
      </c>
      <c r="K481" s="27">
        <f>IF(G481="","",IF(NOT(ISNUMBER(G481)),"Revisa",IF(H481="","Falta IVA",ROUND(G481*(1+(H481+IF(H481=21,5.2,IF(H481=10,1.4,IF(H481=4,0.5,0))))/100),2))))</f>
        <v/>
      </c>
      <c r="L481" s="27">
        <f>IF(G481="","",IF(NOT(ISNUMBER(G481)),"Revisa",ROUND(ROUND(G481*(1+N($K$8)/100)/$O$7,0)*$O$7,2)))</f>
        <v/>
      </c>
      <c r="M481" s="27">
        <f>IF(G481="","",IF(NOT(ISNUMBER(G481)),"Revisa",ROUND(ROUND(G481*(1+N($K$9)/100)/$O$7,0)*$O$7,2)))</f>
        <v/>
      </c>
      <c r="N481" s="27">
        <f>IF(G481="","",IF(NOT(ISNUMBER(G481)),"Revisa",ROUND(ROUND(G481*(1+N($K$10)/100)/$O$7,0)*$O$7,2)))</f>
        <v/>
      </c>
      <c r="O481">
        <f>IF(B481="","",MAX($O$12:O480)+1)</f>
        <v/>
      </c>
      <c r="P481">
        <f>IF(AND(B481="",G481&lt;&gt;""),1,0)</f>
        <v/>
      </c>
    </row>
    <row r="482">
      <c r="A482" s="21" t="n"/>
      <c r="B482" s="21" t="n"/>
      <c r="C482" s="21" t="n"/>
      <c r="D482" s="22" t="n"/>
      <c r="E482" s="21" t="n"/>
      <c r="F482" s="23" t="n"/>
      <c r="G482" s="24" t="n"/>
      <c r="H482" s="25" t="n"/>
      <c r="I482" s="26">
        <f>IF(OR(NOT(ISNUMBER(G482)),N(D482)&lt;=1),"",ROUND(G482/D482,3))</f>
        <v/>
      </c>
      <c r="J482" s="27">
        <f>IF(G482="","",IF(NOT(ISNUMBER(G482)),"Revisa",IF(H482="","Falta IVA",ROUND(G482*(1+H482/100),2))))</f>
        <v/>
      </c>
      <c r="K482" s="27">
        <f>IF(G482="","",IF(NOT(ISNUMBER(G482)),"Revisa",IF(H482="","Falta IVA",ROUND(G482*(1+(H482+IF(H482=21,5.2,IF(H482=10,1.4,IF(H482=4,0.5,0))))/100),2))))</f>
        <v/>
      </c>
      <c r="L482" s="27">
        <f>IF(G482="","",IF(NOT(ISNUMBER(G482)),"Revisa",ROUND(ROUND(G482*(1+N($K$8)/100)/$O$7,0)*$O$7,2)))</f>
        <v/>
      </c>
      <c r="M482" s="27">
        <f>IF(G482="","",IF(NOT(ISNUMBER(G482)),"Revisa",ROUND(ROUND(G482*(1+N($K$9)/100)/$O$7,0)*$O$7,2)))</f>
        <v/>
      </c>
      <c r="N482" s="27">
        <f>IF(G482="","",IF(NOT(ISNUMBER(G482)),"Revisa",ROUND(ROUND(G482*(1+N($K$10)/100)/$O$7,0)*$O$7,2)))</f>
        <v/>
      </c>
      <c r="O482">
        <f>IF(B482="","",MAX($O$12:O481)+1)</f>
        <v/>
      </c>
      <c r="P482">
        <f>IF(AND(B482="",G482&lt;&gt;""),1,0)</f>
        <v/>
      </c>
    </row>
    <row r="483">
      <c r="A483" s="21" t="n"/>
      <c r="B483" s="21" t="n"/>
      <c r="C483" s="21" t="n"/>
      <c r="D483" s="22" t="n"/>
      <c r="E483" s="21" t="n"/>
      <c r="F483" s="23" t="n"/>
      <c r="G483" s="24" t="n"/>
      <c r="H483" s="25" t="n"/>
      <c r="I483" s="26">
        <f>IF(OR(NOT(ISNUMBER(G483)),N(D483)&lt;=1),"",ROUND(G483/D483,3))</f>
        <v/>
      </c>
      <c r="J483" s="27">
        <f>IF(G483="","",IF(NOT(ISNUMBER(G483)),"Revisa",IF(H483="","Falta IVA",ROUND(G483*(1+H483/100),2))))</f>
        <v/>
      </c>
      <c r="K483" s="27">
        <f>IF(G483="","",IF(NOT(ISNUMBER(G483)),"Revisa",IF(H483="","Falta IVA",ROUND(G483*(1+(H483+IF(H483=21,5.2,IF(H483=10,1.4,IF(H483=4,0.5,0))))/100),2))))</f>
        <v/>
      </c>
      <c r="L483" s="27">
        <f>IF(G483="","",IF(NOT(ISNUMBER(G483)),"Revisa",ROUND(ROUND(G483*(1+N($K$8)/100)/$O$7,0)*$O$7,2)))</f>
        <v/>
      </c>
      <c r="M483" s="27">
        <f>IF(G483="","",IF(NOT(ISNUMBER(G483)),"Revisa",ROUND(ROUND(G483*(1+N($K$9)/100)/$O$7,0)*$O$7,2)))</f>
        <v/>
      </c>
      <c r="N483" s="27">
        <f>IF(G483="","",IF(NOT(ISNUMBER(G483)),"Revisa",ROUND(ROUND(G483*(1+N($K$10)/100)/$O$7,0)*$O$7,2)))</f>
        <v/>
      </c>
      <c r="O483">
        <f>IF(B483="","",MAX($O$12:O482)+1)</f>
        <v/>
      </c>
      <c r="P483">
        <f>IF(AND(B483="",G483&lt;&gt;""),1,0)</f>
        <v/>
      </c>
    </row>
    <row r="484">
      <c r="A484" s="21" t="n"/>
      <c r="B484" s="21" t="n"/>
      <c r="C484" s="21" t="n"/>
      <c r="D484" s="22" t="n"/>
      <c r="E484" s="21" t="n"/>
      <c r="F484" s="23" t="n"/>
      <c r="G484" s="24" t="n"/>
      <c r="H484" s="25" t="n"/>
      <c r="I484" s="26">
        <f>IF(OR(NOT(ISNUMBER(G484)),N(D484)&lt;=1),"",ROUND(G484/D484,3))</f>
        <v/>
      </c>
      <c r="J484" s="27">
        <f>IF(G484="","",IF(NOT(ISNUMBER(G484)),"Revisa",IF(H484="","Falta IVA",ROUND(G484*(1+H484/100),2))))</f>
        <v/>
      </c>
      <c r="K484" s="27">
        <f>IF(G484="","",IF(NOT(ISNUMBER(G484)),"Revisa",IF(H484="","Falta IVA",ROUND(G484*(1+(H484+IF(H484=21,5.2,IF(H484=10,1.4,IF(H484=4,0.5,0))))/100),2))))</f>
        <v/>
      </c>
      <c r="L484" s="27">
        <f>IF(G484="","",IF(NOT(ISNUMBER(G484)),"Revisa",ROUND(ROUND(G484*(1+N($K$8)/100)/$O$7,0)*$O$7,2)))</f>
        <v/>
      </c>
      <c r="M484" s="27">
        <f>IF(G484="","",IF(NOT(ISNUMBER(G484)),"Revisa",ROUND(ROUND(G484*(1+N($K$9)/100)/$O$7,0)*$O$7,2)))</f>
        <v/>
      </c>
      <c r="N484" s="27">
        <f>IF(G484="","",IF(NOT(ISNUMBER(G484)),"Revisa",ROUND(ROUND(G484*(1+N($K$10)/100)/$O$7,0)*$O$7,2)))</f>
        <v/>
      </c>
      <c r="O484">
        <f>IF(B484="","",MAX($O$12:O483)+1)</f>
        <v/>
      </c>
      <c r="P484">
        <f>IF(AND(B484="",G484&lt;&gt;""),1,0)</f>
        <v/>
      </c>
    </row>
    <row r="485">
      <c r="A485" s="21" t="n"/>
      <c r="B485" s="21" t="n"/>
      <c r="C485" s="21" t="n"/>
      <c r="D485" s="22" t="n"/>
      <c r="E485" s="21" t="n"/>
      <c r="F485" s="23" t="n"/>
      <c r="G485" s="24" t="n"/>
      <c r="H485" s="25" t="n"/>
      <c r="I485" s="26">
        <f>IF(OR(NOT(ISNUMBER(G485)),N(D485)&lt;=1),"",ROUND(G485/D485,3))</f>
        <v/>
      </c>
      <c r="J485" s="27">
        <f>IF(G485="","",IF(NOT(ISNUMBER(G485)),"Revisa",IF(H485="","Falta IVA",ROUND(G485*(1+H485/100),2))))</f>
        <v/>
      </c>
      <c r="K485" s="27">
        <f>IF(G485="","",IF(NOT(ISNUMBER(G485)),"Revisa",IF(H485="","Falta IVA",ROUND(G485*(1+(H485+IF(H485=21,5.2,IF(H485=10,1.4,IF(H485=4,0.5,0))))/100),2))))</f>
        <v/>
      </c>
      <c r="L485" s="27">
        <f>IF(G485="","",IF(NOT(ISNUMBER(G485)),"Revisa",ROUND(ROUND(G485*(1+N($K$8)/100)/$O$7,0)*$O$7,2)))</f>
        <v/>
      </c>
      <c r="M485" s="27">
        <f>IF(G485="","",IF(NOT(ISNUMBER(G485)),"Revisa",ROUND(ROUND(G485*(1+N($K$9)/100)/$O$7,0)*$O$7,2)))</f>
        <v/>
      </c>
      <c r="N485" s="27">
        <f>IF(G485="","",IF(NOT(ISNUMBER(G485)),"Revisa",ROUND(ROUND(G485*(1+N($K$10)/100)/$O$7,0)*$O$7,2)))</f>
        <v/>
      </c>
      <c r="O485">
        <f>IF(B485="","",MAX($O$12:O484)+1)</f>
        <v/>
      </c>
      <c r="P485">
        <f>IF(AND(B485="",G485&lt;&gt;""),1,0)</f>
        <v/>
      </c>
    </row>
    <row r="486">
      <c r="A486" s="21" t="n"/>
      <c r="B486" s="21" t="n"/>
      <c r="C486" s="21" t="n"/>
      <c r="D486" s="22" t="n"/>
      <c r="E486" s="21" t="n"/>
      <c r="F486" s="23" t="n"/>
      <c r="G486" s="24" t="n"/>
      <c r="H486" s="25" t="n"/>
      <c r="I486" s="26">
        <f>IF(OR(NOT(ISNUMBER(G486)),N(D486)&lt;=1),"",ROUND(G486/D486,3))</f>
        <v/>
      </c>
      <c r="J486" s="27">
        <f>IF(G486="","",IF(NOT(ISNUMBER(G486)),"Revisa",IF(H486="","Falta IVA",ROUND(G486*(1+H486/100),2))))</f>
        <v/>
      </c>
      <c r="K486" s="27">
        <f>IF(G486="","",IF(NOT(ISNUMBER(G486)),"Revisa",IF(H486="","Falta IVA",ROUND(G486*(1+(H486+IF(H486=21,5.2,IF(H486=10,1.4,IF(H486=4,0.5,0))))/100),2))))</f>
        <v/>
      </c>
      <c r="L486" s="27">
        <f>IF(G486="","",IF(NOT(ISNUMBER(G486)),"Revisa",ROUND(ROUND(G486*(1+N($K$8)/100)/$O$7,0)*$O$7,2)))</f>
        <v/>
      </c>
      <c r="M486" s="27">
        <f>IF(G486="","",IF(NOT(ISNUMBER(G486)),"Revisa",ROUND(ROUND(G486*(1+N($K$9)/100)/$O$7,0)*$O$7,2)))</f>
        <v/>
      </c>
      <c r="N486" s="27">
        <f>IF(G486="","",IF(NOT(ISNUMBER(G486)),"Revisa",ROUND(ROUND(G486*(1+N($K$10)/100)/$O$7,0)*$O$7,2)))</f>
        <v/>
      </c>
      <c r="O486">
        <f>IF(B486="","",MAX($O$12:O485)+1)</f>
        <v/>
      </c>
      <c r="P486">
        <f>IF(AND(B486="",G486&lt;&gt;""),1,0)</f>
        <v/>
      </c>
    </row>
    <row r="487">
      <c r="A487" s="21" t="n"/>
      <c r="B487" s="21" t="n"/>
      <c r="C487" s="21" t="n"/>
      <c r="D487" s="22" t="n"/>
      <c r="E487" s="21" t="n"/>
      <c r="F487" s="23" t="n"/>
      <c r="G487" s="24" t="n"/>
      <c r="H487" s="25" t="n"/>
      <c r="I487" s="26">
        <f>IF(OR(NOT(ISNUMBER(G487)),N(D487)&lt;=1),"",ROUND(G487/D487,3))</f>
        <v/>
      </c>
      <c r="J487" s="27">
        <f>IF(G487="","",IF(NOT(ISNUMBER(G487)),"Revisa",IF(H487="","Falta IVA",ROUND(G487*(1+H487/100),2))))</f>
        <v/>
      </c>
      <c r="K487" s="27">
        <f>IF(G487="","",IF(NOT(ISNUMBER(G487)),"Revisa",IF(H487="","Falta IVA",ROUND(G487*(1+(H487+IF(H487=21,5.2,IF(H487=10,1.4,IF(H487=4,0.5,0))))/100),2))))</f>
        <v/>
      </c>
      <c r="L487" s="27">
        <f>IF(G487="","",IF(NOT(ISNUMBER(G487)),"Revisa",ROUND(ROUND(G487*(1+N($K$8)/100)/$O$7,0)*$O$7,2)))</f>
        <v/>
      </c>
      <c r="M487" s="27">
        <f>IF(G487="","",IF(NOT(ISNUMBER(G487)),"Revisa",ROUND(ROUND(G487*(1+N($K$9)/100)/$O$7,0)*$O$7,2)))</f>
        <v/>
      </c>
      <c r="N487" s="27">
        <f>IF(G487="","",IF(NOT(ISNUMBER(G487)),"Revisa",ROUND(ROUND(G487*(1+N($K$10)/100)/$O$7,0)*$O$7,2)))</f>
        <v/>
      </c>
      <c r="O487">
        <f>IF(B487="","",MAX($O$12:O486)+1)</f>
        <v/>
      </c>
      <c r="P487">
        <f>IF(AND(B487="",G487&lt;&gt;""),1,0)</f>
        <v/>
      </c>
    </row>
    <row r="488">
      <c r="A488" s="21" t="n"/>
      <c r="B488" s="21" t="n"/>
      <c r="C488" s="21" t="n"/>
      <c r="D488" s="22" t="n"/>
      <c r="E488" s="21" t="n"/>
      <c r="F488" s="23" t="n"/>
      <c r="G488" s="24" t="n"/>
      <c r="H488" s="25" t="n"/>
      <c r="I488" s="26">
        <f>IF(OR(NOT(ISNUMBER(G488)),N(D488)&lt;=1),"",ROUND(G488/D488,3))</f>
        <v/>
      </c>
      <c r="J488" s="27">
        <f>IF(G488="","",IF(NOT(ISNUMBER(G488)),"Revisa",IF(H488="","Falta IVA",ROUND(G488*(1+H488/100),2))))</f>
        <v/>
      </c>
      <c r="K488" s="27">
        <f>IF(G488="","",IF(NOT(ISNUMBER(G488)),"Revisa",IF(H488="","Falta IVA",ROUND(G488*(1+(H488+IF(H488=21,5.2,IF(H488=10,1.4,IF(H488=4,0.5,0))))/100),2))))</f>
        <v/>
      </c>
      <c r="L488" s="27">
        <f>IF(G488="","",IF(NOT(ISNUMBER(G488)),"Revisa",ROUND(ROUND(G488*(1+N($K$8)/100)/$O$7,0)*$O$7,2)))</f>
        <v/>
      </c>
      <c r="M488" s="27">
        <f>IF(G488="","",IF(NOT(ISNUMBER(G488)),"Revisa",ROUND(ROUND(G488*(1+N($K$9)/100)/$O$7,0)*$O$7,2)))</f>
        <v/>
      </c>
      <c r="N488" s="27">
        <f>IF(G488="","",IF(NOT(ISNUMBER(G488)),"Revisa",ROUND(ROUND(G488*(1+N($K$10)/100)/$O$7,0)*$O$7,2)))</f>
        <v/>
      </c>
      <c r="O488">
        <f>IF(B488="","",MAX($O$12:O487)+1)</f>
        <v/>
      </c>
      <c r="P488">
        <f>IF(AND(B488="",G488&lt;&gt;""),1,0)</f>
        <v/>
      </c>
    </row>
    <row r="489">
      <c r="A489" s="21" t="n"/>
      <c r="B489" s="21" t="n"/>
      <c r="C489" s="21" t="n"/>
      <c r="D489" s="22" t="n"/>
      <c r="E489" s="21" t="n"/>
      <c r="F489" s="23" t="n"/>
      <c r="G489" s="24" t="n"/>
      <c r="H489" s="25" t="n"/>
      <c r="I489" s="26">
        <f>IF(OR(NOT(ISNUMBER(G489)),N(D489)&lt;=1),"",ROUND(G489/D489,3))</f>
        <v/>
      </c>
      <c r="J489" s="27">
        <f>IF(G489="","",IF(NOT(ISNUMBER(G489)),"Revisa",IF(H489="","Falta IVA",ROUND(G489*(1+H489/100),2))))</f>
        <v/>
      </c>
      <c r="K489" s="27">
        <f>IF(G489="","",IF(NOT(ISNUMBER(G489)),"Revisa",IF(H489="","Falta IVA",ROUND(G489*(1+(H489+IF(H489=21,5.2,IF(H489=10,1.4,IF(H489=4,0.5,0))))/100),2))))</f>
        <v/>
      </c>
      <c r="L489" s="27">
        <f>IF(G489="","",IF(NOT(ISNUMBER(G489)),"Revisa",ROUND(ROUND(G489*(1+N($K$8)/100)/$O$7,0)*$O$7,2)))</f>
        <v/>
      </c>
      <c r="M489" s="27">
        <f>IF(G489="","",IF(NOT(ISNUMBER(G489)),"Revisa",ROUND(ROUND(G489*(1+N($K$9)/100)/$O$7,0)*$O$7,2)))</f>
        <v/>
      </c>
      <c r="N489" s="27">
        <f>IF(G489="","",IF(NOT(ISNUMBER(G489)),"Revisa",ROUND(ROUND(G489*(1+N($K$10)/100)/$O$7,0)*$O$7,2)))</f>
        <v/>
      </c>
      <c r="O489">
        <f>IF(B489="","",MAX($O$12:O488)+1)</f>
        <v/>
      </c>
      <c r="P489">
        <f>IF(AND(B489="",G489&lt;&gt;""),1,0)</f>
        <v/>
      </c>
    </row>
    <row r="490">
      <c r="A490" s="21" t="n"/>
      <c r="B490" s="21" t="n"/>
      <c r="C490" s="21" t="n"/>
      <c r="D490" s="22" t="n"/>
      <c r="E490" s="21" t="n"/>
      <c r="F490" s="23" t="n"/>
      <c r="G490" s="24" t="n"/>
      <c r="H490" s="25" t="n"/>
      <c r="I490" s="26">
        <f>IF(OR(NOT(ISNUMBER(G490)),N(D490)&lt;=1),"",ROUND(G490/D490,3))</f>
        <v/>
      </c>
      <c r="J490" s="27">
        <f>IF(G490="","",IF(NOT(ISNUMBER(G490)),"Revisa",IF(H490="","Falta IVA",ROUND(G490*(1+H490/100),2))))</f>
        <v/>
      </c>
      <c r="K490" s="27">
        <f>IF(G490="","",IF(NOT(ISNUMBER(G490)),"Revisa",IF(H490="","Falta IVA",ROUND(G490*(1+(H490+IF(H490=21,5.2,IF(H490=10,1.4,IF(H490=4,0.5,0))))/100),2))))</f>
        <v/>
      </c>
      <c r="L490" s="27">
        <f>IF(G490="","",IF(NOT(ISNUMBER(G490)),"Revisa",ROUND(ROUND(G490*(1+N($K$8)/100)/$O$7,0)*$O$7,2)))</f>
        <v/>
      </c>
      <c r="M490" s="27">
        <f>IF(G490="","",IF(NOT(ISNUMBER(G490)),"Revisa",ROUND(ROUND(G490*(1+N($K$9)/100)/$O$7,0)*$O$7,2)))</f>
        <v/>
      </c>
      <c r="N490" s="27">
        <f>IF(G490="","",IF(NOT(ISNUMBER(G490)),"Revisa",ROUND(ROUND(G490*(1+N($K$10)/100)/$O$7,0)*$O$7,2)))</f>
        <v/>
      </c>
      <c r="O490">
        <f>IF(B490="","",MAX($O$12:O489)+1)</f>
        <v/>
      </c>
      <c r="P490">
        <f>IF(AND(B490="",G490&lt;&gt;""),1,0)</f>
        <v/>
      </c>
    </row>
    <row r="491">
      <c r="A491" s="21" t="n"/>
      <c r="B491" s="21" t="n"/>
      <c r="C491" s="21" t="n"/>
      <c r="D491" s="22" t="n"/>
      <c r="E491" s="21" t="n"/>
      <c r="F491" s="23" t="n"/>
      <c r="G491" s="24" t="n"/>
      <c r="H491" s="25" t="n"/>
      <c r="I491" s="26">
        <f>IF(OR(NOT(ISNUMBER(G491)),N(D491)&lt;=1),"",ROUND(G491/D491,3))</f>
        <v/>
      </c>
      <c r="J491" s="27">
        <f>IF(G491="","",IF(NOT(ISNUMBER(G491)),"Revisa",IF(H491="","Falta IVA",ROUND(G491*(1+H491/100),2))))</f>
        <v/>
      </c>
      <c r="K491" s="27">
        <f>IF(G491="","",IF(NOT(ISNUMBER(G491)),"Revisa",IF(H491="","Falta IVA",ROUND(G491*(1+(H491+IF(H491=21,5.2,IF(H491=10,1.4,IF(H491=4,0.5,0))))/100),2))))</f>
        <v/>
      </c>
      <c r="L491" s="27">
        <f>IF(G491="","",IF(NOT(ISNUMBER(G491)),"Revisa",ROUND(ROUND(G491*(1+N($K$8)/100)/$O$7,0)*$O$7,2)))</f>
        <v/>
      </c>
      <c r="M491" s="27">
        <f>IF(G491="","",IF(NOT(ISNUMBER(G491)),"Revisa",ROUND(ROUND(G491*(1+N($K$9)/100)/$O$7,0)*$O$7,2)))</f>
        <v/>
      </c>
      <c r="N491" s="27">
        <f>IF(G491="","",IF(NOT(ISNUMBER(G491)),"Revisa",ROUND(ROUND(G491*(1+N($K$10)/100)/$O$7,0)*$O$7,2)))</f>
        <v/>
      </c>
      <c r="O491">
        <f>IF(B491="","",MAX($O$12:O490)+1)</f>
        <v/>
      </c>
      <c r="P491">
        <f>IF(AND(B491="",G491&lt;&gt;""),1,0)</f>
        <v/>
      </c>
    </row>
    <row r="492">
      <c r="A492" s="21" t="n"/>
      <c r="B492" s="21" t="n"/>
      <c r="C492" s="21" t="n"/>
      <c r="D492" s="22" t="n"/>
      <c r="E492" s="21" t="n"/>
      <c r="F492" s="23" t="n"/>
      <c r="G492" s="24" t="n"/>
      <c r="H492" s="25" t="n"/>
      <c r="I492" s="26">
        <f>IF(OR(NOT(ISNUMBER(G492)),N(D492)&lt;=1),"",ROUND(G492/D492,3))</f>
        <v/>
      </c>
      <c r="J492" s="27">
        <f>IF(G492="","",IF(NOT(ISNUMBER(G492)),"Revisa",IF(H492="","Falta IVA",ROUND(G492*(1+H492/100),2))))</f>
        <v/>
      </c>
      <c r="K492" s="27">
        <f>IF(G492="","",IF(NOT(ISNUMBER(G492)),"Revisa",IF(H492="","Falta IVA",ROUND(G492*(1+(H492+IF(H492=21,5.2,IF(H492=10,1.4,IF(H492=4,0.5,0))))/100),2))))</f>
        <v/>
      </c>
      <c r="L492" s="27">
        <f>IF(G492="","",IF(NOT(ISNUMBER(G492)),"Revisa",ROUND(ROUND(G492*(1+N($K$8)/100)/$O$7,0)*$O$7,2)))</f>
        <v/>
      </c>
      <c r="M492" s="27">
        <f>IF(G492="","",IF(NOT(ISNUMBER(G492)),"Revisa",ROUND(ROUND(G492*(1+N($K$9)/100)/$O$7,0)*$O$7,2)))</f>
        <v/>
      </c>
      <c r="N492" s="27">
        <f>IF(G492="","",IF(NOT(ISNUMBER(G492)),"Revisa",ROUND(ROUND(G492*(1+N($K$10)/100)/$O$7,0)*$O$7,2)))</f>
        <v/>
      </c>
      <c r="O492">
        <f>IF(B492="","",MAX($O$12:O491)+1)</f>
        <v/>
      </c>
      <c r="P492">
        <f>IF(AND(B492="",G492&lt;&gt;""),1,0)</f>
        <v/>
      </c>
    </row>
    <row r="493">
      <c r="A493" s="21" t="n"/>
      <c r="B493" s="21" t="n"/>
      <c r="C493" s="21" t="n"/>
      <c r="D493" s="22" t="n"/>
      <c r="E493" s="21" t="n"/>
      <c r="F493" s="23" t="n"/>
      <c r="G493" s="24" t="n"/>
      <c r="H493" s="25" t="n"/>
      <c r="I493" s="26">
        <f>IF(OR(NOT(ISNUMBER(G493)),N(D493)&lt;=1),"",ROUND(G493/D493,3))</f>
        <v/>
      </c>
      <c r="J493" s="27">
        <f>IF(G493="","",IF(NOT(ISNUMBER(G493)),"Revisa",IF(H493="","Falta IVA",ROUND(G493*(1+H493/100),2))))</f>
        <v/>
      </c>
      <c r="K493" s="27">
        <f>IF(G493="","",IF(NOT(ISNUMBER(G493)),"Revisa",IF(H493="","Falta IVA",ROUND(G493*(1+(H493+IF(H493=21,5.2,IF(H493=10,1.4,IF(H493=4,0.5,0))))/100),2))))</f>
        <v/>
      </c>
      <c r="L493" s="27">
        <f>IF(G493="","",IF(NOT(ISNUMBER(G493)),"Revisa",ROUND(ROUND(G493*(1+N($K$8)/100)/$O$7,0)*$O$7,2)))</f>
        <v/>
      </c>
      <c r="M493" s="27">
        <f>IF(G493="","",IF(NOT(ISNUMBER(G493)),"Revisa",ROUND(ROUND(G493*(1+N($K$9)/100)/$O$7,0)*$O$7,2)))</f>
        <v/>
      </c>
      <c r="N493" s="27">
        <f>IF(G493="","",IF(NOT(ISNUMBER(G493)),"Revisa",ROUND(ROUND(G493*(1+N($K$10)/100)/$O$7,0)*$O$7,2)))</f>
        <v/>
      </c>
      <c r="O493">
        <f>IF(B493="","",MAX($O$12:O492)+1)</f>
        <v/>
      </c>
      <c r="P493">
        <f>IF(AND(B493="",G493&lt;&gt;""),1,0)</f>
        <v/>
      </c>
    </row>
    <row r="494">
      <c r="A494" s="21" t="n"/>
      <c r="B494" s="21" t="n"/>
      <c r="C494" s="21" t="n"/>
      <c r="D494" s="22" t="n"/>
      <c r="E494" s="21" t="n"/>
      <c r="F494" s="23" t="n"/>
      <c r="G494" s="24" t="n"/>
      <c r="H494" s="25" t="n"/>
      <c r="I494" s="26">
        <f>IF(OR(NOT(ISNUMBER(G494)),N(D494)&lt;=1),"",ROUND(G494/D494,3))</f>
        <v/>
      </c>
      <c r="J494" s="27">
        <f>IF(G494="","",IF(NOT(ISNUMBER(G494)),"Revisa",IF(H494="","Falta IVA",ROUND(G494*(1+H494/100),2))))</f>
        <v/>
      </c>
      <c r="K494" s="27">
        <f>IF(G494="","",IF(NOT(ISNUMBER(G494)),"Revisa",IF(H494="","Falta IVA",ROUND(G494*(1+(H494+IF(H494=21,5.2,IF(H494=10,1.4,IF(H494=4,0.5,0))))/100),2))))</f>
        <v/>
      </c>
      <c r="L494" s="27">
        <f>IF(G494="","",IF(NOT(ISNUMBER(G494)),"Revisa",ROUND(ROUND(G494*(1+N($K$8)/100)/$O$7,0)*$O$7,2)))</f>
        <v/>
      </c>
      <c r="M494" s="27">
        <f>IF(G494="","",IF(NOT(ISNUMBER(G494)),"Revisa",ROUND(ROUND(G494*(1+N($K$9)/100)/$O$7,0)*$O$7,2)))</f>
        <v/>
      </c>
      <c r="N494" s="27">
        <f>IF(G494="","",IF(NOT(ISNUMBER(G494)),"Revisa",ROUND(ROUND(G494*(1+N($K$10)/100)/$O$7,0)*$O$7,2)))</f>
        <v/>
      </c>
      <c r="O494">
        <f>IF(B494="","",MAX($O$12:O493)+1)</f>
        <v/>
      </c>
      <c r="P494">
        <f>IF(AND(B494="",G494&lt;&gt;""),1,0)</f>
        <v/>
      </c>
    </row>
    <row r="495">
      <c r="A495" s="21" t="n"/>
      <c r="B495" s="21" t="n"/>
      <c r="C495" s="21" t="n"/>
      <c r="D495" s="22" t="n"/>
      <c r="E495" s="21" t="n"/>
      <c r="F495" s="23" t="n"/>
      <c r="G495" s="24" t="n"/>
      <c r="H495" s="25" t="n"/>
      <c r="I495" s="26">
        <f>IF(OR(NOT(ISNUMBER(G495)),N(D495)&lt;=1),"",ROUND(G495/D495,3))</f>
        <v/>
      </c>
      <c r="J495" s="27">
        <f>IF(G495="","",IF(NOT(ISNUMBER(G495)),"Revisa",IF(H495="","Falta IVA",ROUND(G495*(1+H495/100),2))))</f>
        <v/>
      </c>
      <c r="K495" s="27">
        <f>IF(G495="","",IF(NOT(ISNUMBER(G495)),"Revisa",IF(H495="","Falta IVA",ROUND(G495*(1+(H495+IF(H495=21,5.2,IF(H495=10,1.4,IF(H495=4,0.5,0))))/100),2))))</f>
        <v/>
      </c>
      <c r="L495" s="27">
        <f>IF(G495="","",IF(NOT(ISNUMBER(G495)),"Revisa",ROUND(ROUND(G495*(1+N($K$8)/100)/$O$7,0)*$O$7,2)))</f>
        <v/>
      </c>
      <c r="M495" s="27">
        <f>IF(G495="","",IF(NOT(ISNUMBER(G495)),"Revisa",ROUND(ROUND(G495*(1+N($K$9)/100)/$O$7,0)*$O$7,2)))</f>
        <v/>
      </c>
      <c r="N495" s="27">
        <f>IF(G495="","",IF(NOT(ISNUMBER(G495)),"Revisa",ROUND(ROUND(G495*(1+N($K$10)/100)/$O$7,0)*$O$7,2)))</f>
        <v/>
      </c>
      <c r="O495">
        <f>IF(B495="","",MAX($O$12:O494)+1)</f>
        <v/>
      </c>
      <c r="P495">
        <f>IF(AND(B495="",G495&lt;&gt;""),1,0)</f>
        <v/>
      </c>
    </row>
    <row r="496">
      <c r="A496" s="21" t="n"/>
      <c r="B496" s="21" t="n"/>
      <c r="C496" s="21" t="n"/>
      <c r="D496" s="22" t="n"/>
      <c r="E496" s="21" t="n"/>
      <c r="F496" s="23" t="n"/>
      <c r="G496" s="24" t="n"/>
      <c r="H496" s="25" t="n"/>
      <c r="I496" s="26">
        <f>IF(OR(NOT(ISNUMBER(G496)),N(D496)&lt;=1),"",ROUND(G496/D496,3))</f>
        <v/>
      </c>
      <c r="J496" s="27">
        <f>IF(G496="","",IF(NOT(ISNUMBER(G496)),"Revisa",IF(H496="","Falta IVA",ROUND(G496*(1+H496/100),2))))</f>
        <v/>
      </c>
      <c r="K496" s="27">
        <f>IF(G496="","",IF(NOT(ISNUMBER(G496)),"Revisa",IF(H496="","Falta IVA",ROUND(G496*(1+(H496+IF(H496=21,5.2,IF(H496=10,1.4,IF(H496=4,0.5,0))))/100),2))))</f>
        <v/>
      </c>
      <c r="L496" s="27">
        <f>IF(G496="","",IF(NOT(ISNUMBER(G496)),"Revisa",ROUND(ROUND(G496*(1+N($K$8)/100)/$O$7,0)*$O$7,2)))</f>
        <v/>
      </c>
      <c r="M496" s="27">
        <f>IF(G496="","",IF(NOT(ISNUMBER(G496)),"Revisa",ROUND(ROUND(G496*(1+N($K$9)/100)/$O$7,0)*$O$7,2)))</f>
        <v/>
      </c>
      <c r="N496" s="27">
        <f>IF(G496="","",IF(NOT(ISNUMBER(G496)),"Revisa",ROUND(ROUND(G496*(1+N($K$10)/100)/$O$7,0)*$O$7,2)))</f>
        <v/>
      </c>
      <c r="O496">
        <f>IF(B496="","",MAX($O$12:O495)+1)</f>
        <v/>
      </c>
      <c r="P496">
        <f>IF(AND(B496="",G496&lt;&gt;""),1,0)</f>
        <v/>
      </c>
    </row>
    <row r="497">
      <c r="A497" s="21" t="n"/>
      <c r="B497" s="21" t="n"/>
      <c r="C497" s="21" t="n"/>
      <c r="D497" s="22" t="n"/>
      <c r="E497" s="21" t="n"/>
      <c r="F497" s="23" t="n"/>
      <c r="G497" s="24" t="n"/>
      <c r="H497" s="25" t="n"/>
      <c r="I497" s="26">
        <f>IF(OR(NOT(ISNUMBER(G497)),N(D497)&lt;=1),"",ROUND(G497/D497,3))</f>
        <v/>
      </c>
      <c r="J497" s="27">
        <f>IF(G497="","",IF(NOT(ISNUMBER(G497)),"Revisa",IF(H497="","Falta IVA",ROUND(G497*(1+H497/100),2))))</f>
        <v/>
      </c>
      <c r="K497" s="27">
        <f>IF(G497="","",IF(NOT(ISNUMBER(G497)),"Revisa",IF(H497="","Falta IVA",ROUND(G497*(1+(H497+IF(H497=21,5.2,IF(H497=10,1.4,IF(H497=4,0.5,0))))/100),2))))</f>
        <v/>
      </c>
      <c r="L497" s="27">
        <f>IF(G497="","",IF(NOT(ISNUMBER(G497)),"Revisa",ROUND(ROUND(G497*(1+N($K$8)/100)/$O$7,0)*$O$7,2)))</f>
        <v/>
      </c>
      <c r="M497" s="27">
        <f>IF(G497="","",IF(NOT(ISNUMBER(G497)),"Revisa",ROUND(ROUND(G497*(1+N($K$9)/100)/$O$7,0)*$O$7,2)))</f>
        <v/>
      </c>
      <c r="N497" s="27">
        <f>IF(G497="","",IF(NOT(ISNUMBER(G497)),"Revisa",ROUND(ROUND(G497*(1+N($K$10)/100)/$O$7,0)*$O$7,2)))</f>
        <v/>
      </c>
      <c r="O497">
        <f>IF(B497="","",MAX($O$12:O496)+1)</f>
        <v/>
      </c>
      <c r="P497">
        <f>IF(AND(B497="",G497&lt;&gt;""),1,0)</f>
        <v/>
      </c>
    </row>
    <row r="498">
      <c r="A498" s="21" t="n"/>
      <c r="B498" s="21" t="n"/>
      <c r="C498" s="21" t="n"/>
      <c r="D498" s="22" t="n"/>
      <c r="E498" s="21" t="n"/>
      <c r="F498" s="23" t="n"/>
      <c r="G498" s="24" t="n"/>
      <c r="H498" s="25" t="n"/>
      <c r="I498" s="26">
        <f>IF(OR(NOT(ISNUMBER(G498)),N(D498)&lt;=1),"",ROUND(G498/D498,3))</f>
        <v/>
      </c>
      <c r="J498" s="27">
        <f>IF(G498="","",IF(NOT(ISNUMBER(G498)),"Revisa",IF(H498="","Falta IVA",ROUND(G498*(1+H498/100),2))))</f>
        <v/>
      </c>
      <c r="K498" s="27">
        <f>IF(G498="","",IF(NOT(ISNUMBER(G498)),"Revisa",IF(H498="","Falta IVA",ROUND(G498*(1+(H498+IF(H498=21,5.2,IF(H498=10,1.4,IF(H498=4,0.5,0))))/100),2))))</f>
        <v/>
      </c>
      <c r="L498" s="27">
        <f>IF(G498="","",IF(NOT(ISNUMBER(G498)),"Revisa",ROUND(ROUND(G498*(1+N($K$8)/100)/$O$7,0)*$O$7,2)))</f>
        <v/>
      </c>
      <c r="M498" s="27">
        <f>IF(G498="","",IF(NOT(ISNUMBER(G498)),"Revisa",ROUND(ROUND(G498*(1+N($K$9)/100)/$O$7,0)*$O$7,2)))</f>
        <v/>
      </c>
      <c r="N498" s="27">
        <f>IF(G498="","",IF(NOT(ISNUMBER(G498)),"Revisa",ROUND(ROUND(G498*(1+N($K$10)/100)/$O$7,0)*$O$7,2)))</f>
        <v/>
      </c>
      <c r="O498">
        <f>IF(B498="","",MAX($O$12:O497)+1)</f>
        <v/>
      </c>
      <c r="P498">
        <f>IF(AND(B498="",G498&lt;&gt;""),1,0)</f>
        <v/>
      </c>
    </row>
    <row r="499">
      <c r="A499" s="21" t="n"/>
      <c r="B499" s="21" t="n"/>
      <c r="C499" s="21" t="n"/>
      <c r="D499" s="22" t="n"/>
      <c r="E499" s="21" t="n"/>
      <c r="F499" s="23" t="n"/>
      <c r="G499" s="24" t="n"/>
      <c r="H499" s="25" t="n"/>
      <c r="I499" s="26">
        <f>IF(OR(NOT(ISNUMBER(G499)),N(D499)&lt;=1),"",ROUND(G499/D499,3))</f>
        <v/>
      </c>
      <c r="J499" s="27">
        <f>IF(G499="","",IF(NOT(ISNUMBER(G499)),"Revisa",IF(H499="","Falta IVA",ROUND(G499*(1+H499/100),2))))</f>
        <v/>
      </c>
      <c r="K499" s="27">
        <f>IF(G499="","",IF(NOT(ISNUMBER(G499)),"Revisa",IF(H499="","Falta IVA",ROUND(G499*(1+(H499+IF(H499=21,5.2,IF(H499=10,1.4,IF(H499=4,0.5,0))))/100),2))))</f>
        <v/>
      </c>
      <c r="L499" s="27">
        <f>IF(G499="","",IF(NOT(ISNUMBER(G499)),"Revisa",ROUND(ROUND(G499*(1+N($K$8)/100)/$O$7,0)*$O$7,2)))</f>
        <v/>
      </c>
      <c r="M499" s="27">
        <f>IF(G499="","",IF(NOT(ISNUMBER(G499)),"Revisa",ROUND(ROUND(G499*(1+N($K$9)/100)/$O$7,0)*$O$7,2)))</f>
        <v/>
      </c>
      <c r="N499" s="27">
        <f>IF(G499="","",IF(NOT(ISNUMBER(G499)),"Revisa",ROUND(ROUND(G499*(1+N($K$10)/100)/$O$7,0)*$O$7,2)))</f>
        <v/>
      </c>
      <c r="O499">
        <f>IF(B499="","",MAX($O$12:O498)+1)</f>
        <v/>
      </c>
      <c r="P499">
        <f>IF(AND(B499="",G499&lt;&gt;""),1,0)</f>
        <v/>
      </c>
    </row>
    <row r="500">
      <c r="A500" s="21" t="n"/>
      <c r="B500" s="21" t="n"/>
      <c r="C500" s="21" t="n"/>
      <c r="D500" s="22" t="n"/>
      <c r="E500" s="21" t="n"/>
      <c r="F500" s="23" t="n"/>
      <c r="G500" s="24" t="n"/>
      <c r="H500" s="25" t="n"/>
      <c r="I500" s="26">
        <f>IF(OR(NOT(ISNUMBER(G500)),N(D500)&lt;=1),"",ROUND(G500/D500,3))</f>
        <v/>
      </c>
      <c r="J500" s="27">
        <f>IF(G500="","",IF(NOT(ISNUMBER(G500)),"Revisa",IF(H500="","Falta IVA",ROUND(G500*(1+H500/100),2))))</f>
        <v/>
      </c>
      <c r="K500" s="27">
        <f>IF(G500="","",IF(NOT(ISNUMBER(G500)),"Revisa",IF(H500="","Falta IVA",ROUND(G500*(1+(H500+IF(H500=21,5.2,IF(H500=10,1.4,IF(H500=4,0.5,0))))/100),2))))</f>
        <v/>
      </c>
      <c r="L500" s="27">
        <f>IF(G500="","",IF(NOT(ISNUMBER(G500)),"Revisa",ROUND(ROUND(G500*(1+N($K$8)/100)/$O$7,0)*$O$7,2)))</f>
        <v/>
      </c>
      <c r="M500" s="27">
        <f>IF(G500="","",IF(NOT(ISNUMBER(G500)),"Revisa",ROUND(ROUND(G500*(1+N($K$9)/100)/$O$7,0)*$O$7,2)))</f>
        <v/>
      </c>
      <c r="N500" s="27">
        <f>IF(G500="","",IF(NOT(ISNUMBER(G500)),"Revisa",ROUND(ROUND(G500*(1+N($K$10)/100)/$O$7,0)*$O$7,2)))</f>
        <v/>
      </c>
      <c r="O500">
        <f>IF(B500="","",MAX($O$12:O499)+1)</f>
        <v/>
      </c>
      <c r="P500">
        <f>IF(AND(B500="",G500&lt;&gt;""),1,0)</f>
        <v/>
      </c>
    </row>
    <row r="501">
      <c r="A501" s="21" t="n"/>
      <c r="B501" s="21" t="n"/>
      <c r="C501" s="21" t="n"/>
      <c r="D501" s="22" t="n"/>
      <c r="E501" s="21" t="n"/>
      <c r="F501" s="23" t="n"/>
      <c r="G501" s="24" t="n"/>
      <c r="H501" s="25" t="n"/>
      <c r="I501" s="26">
        <f>IF(OR(NOT(ISNUMBER(G501)),N(D501)&lt;=1),"",ROUND(G501/D501,3))</f>
        <v/>
      </c>
      <c r="J501" s="27">
        <f>IF(G501="","",IF(NOT(ISNUMBER(G501)),"Revisa",IF(H501="","Falta IVA",ROUND(G501*(1+H501/100),2))))</f>
        <v/>
      </c>
      <c r="K501" s="27">
        <f>IF(G501="","",IF(NOT(ISNUMBER(G501)),"Revisa",IF(H501="","Falta IVA",ROUND(G501*(1+(H501+IF(H501=21,5.2,IF(H501=10,1.4,IF(H501=4,0.5,0))))/100),2))))</f>
        <v/>
      </c>
      <c r="L501" s="27">
        <f>IF(G501="","",IF(NOT(ISNUMBER(G501)),"Revisa",ROUND(ROUND(G501*(1+N($K$8)/100)/$O$7,0)*$O$7,2)))</f>
        <v/>
      </c>
      <c r="M501" s="27">
        <f>IF(G501="","",IF(NOT(ISNUMBER(G501)),"Revisa",ROUND(ROUND(G501*(1+N($K$9)/100)/$O$7,0)*$O$7,2)))</f>
        <v/>
      </c>
      <c r="N501" s="27">
        <f>IF(G501="","",IF(NOT(ISNUMBER(G501)),"Revisa",ROUND(ROUND(G501*(1+N($K$10)/100)/$O$7,0)*$O$7,2)))</f>
        <v/>
      </c>
      <c r="O501">
        <f>IF(B501="","",MAX($O$12:O500)+1)</f>
        <v/>
      </c>
      <c r="P501">
        <f>IF(AND(B501="",G501&lt;&gt;""),1,0)</f>
        <v/>
      </c>
    </row>
    <row r="502">
      <c r="A502" s="21" t="n"/>
      <c r="B502" s="21" t="n"/>
      <c r="C502" s="21" t="n"/>
      <c r="D502" s="22" t="n"/>
      <c r="E502" s="21" t="n"/>
      <c r="F502" s="23" t="n"/>
      <c r="G502" s="24" t="n"/>
      <c r="H502" s="25" t="n"/>
      <c r="I502" s="26">
        <f>IF(OR(NOT(ISNUMBER(G502)),N(D502)&lt;=1),"",ROUND(G502/D502,3))</f>
        <v/>
      </c>
      <c r="J502" s="27">
        <f>IF(G502="","",IF(NOT(ISNUMBER(G502)),"Revisa",IF(H502="","Falta IVA",ROUND(G502*(1+H502/100),2))))</f>
        <v/>
      </c>
      <c r="K502" s="27">
        <f>IF(G502="","",IF(NOT(ISNUMBER(G502)),"Revisa",IF(H502="","Falta IVA",ROUND(G502*(1+(H502+IF(H502=21,5.2,IF(H502=10,1.4,IF(H502=4,0.5,0))))/100),2))))</f>
        <v/>
      </c>
      <c r="L502" s="27">
        <f>IF(G502="","",IF(NOT(ISNUMBER(G502)),"Revisa",ROUND(ROUND(G502*(1+N($K$8)/100)/$O$7,0)*$O$7,2)))</f>
        <v/>
      </c>
      <c r="M502" s="27">
        <f>IF(G502="","",IF(NOT(ISNUMBER(G502)),"Revisa",ROUND(ROUND(G502*(1+N($K$9)/100)/$O$7,0)*$O$7,2)))</f>
        <v/>
      </c>
      <c r="N502" s="27">
        <f>IF(G502="","",IF(NOT(ISNUMBER(G502)),"Revisa",ROUND(ROUND(G502*(1+N($K$10)/100)/$O$7,0)*$O$7,2)))</f>
        <v/>
      </c>
      <c r="O502">
        <f>IF(B502="","",MAX($O$12:O501)+1)</f>
        <v/>
      </c>
      <c r="P502">
        <f>IF(AND(B502="",G502&lt;&gt;""),1,0)</f>
        <v/>
      </c>
    </row>
    <row r="503">
      <c r="A503" s="21" t="n"/>
      <c r="B503" s="21" t="n"/>
      <c r="C503" s="21" t="n"/>
      <c r="D503" s="22" t="n"/>
      <c r="E503" s="21" t="n"/>
      <c r="F503" s="23" t="n"/>
      <c r="G503" s="24" t="n"/>
      <c r="H503" s="25" t="n"/>
      <c r="I503" s="26">
        <f>IF(OR(NOT(ISNUMBER(G503)),N(D503)&lt;=1),"",ROUND(G503/D503,3))</f>
        <v/>
      </c>
      <c r="J503" s="27">
        <f>IF(G503="","",IF(NOT(ISNUMBER(G503)),"Revisa",IF(H503="","Falta IVA",ROUND(G503*(1+H503/100),2))))</f>
        <v/>
      </c>
      <c r="K503" s="27">
        <f>IF(G503="","",IF(NOT(ISNUMBER(G503)),"Revisa",IF(H503="","Falta IVA",ROUND(G503*(1+(H503+IF(H503=21,5.2,IF(H503=10,1.4,IF(H503=4,0.5,0))))/100),2))))</f>
        <v/>
      </c>
      <c r="L503" s="27">
        <f>IF(G503="","",IF(NOT(ISNUMBER(G503)),"Revisa",ROUND(ROUND(G503*(1+N($K$8)/100)/$O$7,0)*$O$7,2)))</f>
        <v/>
      </c>
      <c r="M503" s="27">
        <f>IF(G503="","",IF(NOT(ISNUMBER(G503)),"Revisa",ROUND(ROUND(G503*(1+N($K$9)/100)/$O$7,0)*$O$7,2)))</f>
        <v/>
      </c>
      <c r="N503" s="27">
        <f>IF(G503="","",IF(NOT(ISNUMBER(G503)),"Revisa",ROUND(ROUND(G503*(1+N($K$10)/100)/$O$7,0)*$O$7,2)))</f>
        <v/>
      </c>
      <c r="O503">
        <f>IF(B503="","",MAX($O$12:O502)+1)</f>
        <v/>
      </c>
      <c r="P503">
        <f>IF(AND(B503="",G503&lt;&gt;""),1,0)</f>
        <v/>
      </c>
    </row>
    <row r="504">
      <c r="A504" s="21" t="n"/>
      <c r="B504" s="21" t="n"/>
      <c r="C504" s="21" t="n"/>
      <c r="D504" s="22" t="n"/>
      <c r="E504" s="21" t="n"/>
      <c r="F504" s="23" t="n"/>
      <c r="G504" s="24" t="n"/>
      <c r="H504" s="25" t="n"/>
      <c r="I504" s="26">
        <f>IF(OR(NOT(ISNUMBER(G504)),N(D504)&lt;=1),"",ROUND(G504/D504,3))</f>
        <v/>
      </c>
      <c r="J504" s="27">
        <f>IF(G504="","",IF(NOT(ISNUMBER(G504)),"Revisa",IF(H504="","Falta IVA",ROUND(G504*(1+H504/100),2))))</f>
        <v/>
      </c>
      <c r="K504" s="27">
        <f>IF(G504="","",IF(NOT(ISNUMBER(G504)),"Revisa",IF(H504="","Falta IVA",ROUND(G504*(1+(H504+IF(H504=21,5.2,IF(H504=10,1.4,IF(H504=4,0.5,0))))/100),2))))</f>
        <v/>
      </c>
      <c r="L504" s="27">
        <f>IF(G504="","",IF(NOT(ISNUMBER(G504)),"Revisa",ROUND(ROUND(G504*(1+N($K$8)/100)/$O$7,0)*$O$7,2)))</f>
        <v/>
      </c>
      <c r="M504" s="27">
        <f>IF(G504="","",IF(NOT(ISNUMBER(G504)),"Revisa",ROUND(ROUND(G504*(1+N($K$9)/100)/$O$7,0)*$O$7,2)))</f>
        <v/>
      </c>
      <c r="N504" s="27">
        <f>IF(G504="","",IF(NOT(ISNUMBER(G504)),"Revisa",ROUND(ROUND(G504*(1+N($K$10)/100)/$O$7,0)*$O$7,2)))</f>
        <v/>
      </c>
      <c r="O504">
        <f>IF(B504="","",MAX($O$12:O503)+1)</f>
        <v/>
      </c>
      <c r="P504">
        <f>IF(AND(B504="",G504&lt;&gt;""),1,0)</f>
        <v/>
      </c>
    </row>
    <row r="505">
      <c r="A505" s="21" t="n"/>
      <c r="B505" s="21" t="n"/>
      <c r="C505" s="21" t="n"/>
      <c r="D505" s="22" t="n"/>
      <c r="E505" s="21" t="n"/>
      <c r="F505" s="23" t="n"/>
      <c r="G505" s="24" t="n"/>
      <c r="H505" s="25" t="n"/>
      <c r="I505" s="26">
        <f>IF(OR(NOT(ISNUMBER(G505)),N(D505)&lt;=1),"",ROUND(G505/D505,3))</f>
        <v/>
      </c>
      <c r="J505" s="27">
        <f>IF(G505="","",IF(NOT(ISNUMBER(G505)),"Revisa",IF(H505="","Falta IVA",ROUND(G505*(1+H505/100),2))))</f>
        <v/>
      </c>
      <c r="K505" s="27">
        <f>IF(G505="","",IF(NOT(ISNUMBER(G505)),"Revisa",IF(H505="","Falta IVA",ROUND(G505*(1+(H505+IF(H505=21,5.2,IF(H505=10,1.4,IF(H505=4,0.5,0))))/100),2))))</f>
        <v/>
      </c>
      <c r="L505" s="27">
        <f>IF(G505="","",IF(NOT(ISNUMBER(G505)),"Revisa",ROUND(ROUND(G505*(1+N($K$8)/100)/$O$7,0)*$O$7,2)))</f>
        <v/>
      </c>
      <c r="M505" s="27">
        <f>IF(G505="","",IF(NOT(ISNUMBER(G505)),"Revisa",ROUND(ROUND(G505*(1+N($K$9)/100)/$O$7,0)*$O$7,2)))</f>
        <v/>
      </c>
      <c r="N505" s="27">
        <f>IF(G505="","",IF(NOT(ISNUMBER(G505)),"Revisa",ROUND(ROUND(G505*(1+N($K$10)/100)/$O$7,0)*$O$7,2)))</f>
        <v/>
      </c>
      <c r="O505">
        <f>IF(B505="","",MAX($O$12:O504)+1)</f>
        <v/>
      </c>
      <c r="P505">
        <f>IF(AND(B505="",G505&lt;&gt;""),1,0)</f>
        <v/>
      </c>
    </row>
    <row r="506">
      <c r="A506" s="21" t="n"/>
      <c r="B506" s="21" t="n"/>
      <c r="C506" s="21" t="n"/>
      <c r="D506" s="22" t="n"/>
      <c r="E506" s="21" t="n"/>
      <c r="F506" s="23" t="n"/>
      <c r="G506" s="24" t="n"/>
      <c r="H506" s="25" t="n"/>
      <c r="I506" s="26">
        <f>IF(OR(NOT(ISNUMBER(G506)),N(D506)&lt;=1),"",ROUND(G506/D506,3))</f>
        <v/>
      </c>
      <c r="J506" s="27">
        <f>IF(G506="","",IF(NOT(ISNUMBER(G506)),"Revisa",IF(H506="","Falta IVA",ROUND(G506*(1+H506/100),2))))</f>
        <v/>
      </c>
      <c r="K506" s="27">
        <f>IF(G506="","",IF(NOT(ISNUMBER(G506)),"Revisa",IF(H506="","Falta IVA",ROUND(G506*(1+(H506+IF(H506=21,5.2,IF(H506=10,1.4,IF(H506=4,0.5,0))))/100),2))))</f>
        <v/>
      </c>
      <c r="L506" s="27">
        <f>IF(G506="","",IF(NOT(ISNUMBER(G506)),"Revisa",ROUND(ROUND(G506*(1+N($K$8)/100)/$O$7,0)*$O$7,2)))</f>
        <v/>
      </c>
      <c r="M506" s="27">
        <f>IF(G506="","",IF(NOT(ISNUMBER(G506)),"Revisa",ROUND(ROUND(G506*(1+N($K$9)/100)/$O$7,0)*$O$7,2)))</f>
        <v/>
      </c>
      <c r="N506" s="27">
        <f>IF(G506="","",IF(NOT(ISNUMBER(G506)),"Revisa",ROUND(ROUND(G506*(1+N($K$10)/100)/$O$7,0)*$O$7,2)))</f>
        <v/>
      </c>
      <c r="O506">
        <f>IF(B506="","",MAX($O$12:O505)+1)</f>
        <v/>
      </c>
      <c r="P506">
        <f>IF(AND(B506="",G506&lt;&gt;""),1,0)</f>
        <v/>
      </c>
    </row>
    <row r="507">
      <c r="A507" s="21" t="n"/>
      <c r="B507" s="21" t="n"/>
      <c r="C507" s="21" t="n"/>
      <c r="D507" s="22" t="n"/>
      <c r="E507" s="21" t="n"/>
      <c r="F507" s="23" t="n"/>
      <c r="G507" s="24" t="n"/>
      <c r="H507" s="25" t="n"/>
      <c r="I507" s="26">
        <f>IF(OR(NOT(ISNUMBER(G507)),N(D507)&lt;=1),"",ROUND(G507/D507,3))</f>
        <v/>
      </c>
      <c r="J507" s="27">
        <f>IF(G507="","",IF(NOT(ISNUMBER(G507)),"Revisa",IF(H507="","Falta IVA",ROUND(G507*(1+H507/100),2))))</f>
        <v/>
      </c>
      <c r="K507" s="27">
        <f>IF(G507="","",IF(NOT(ISNUMBER(G507)),"Revisa",IF(H507="","Falta IVA",ROUND(G507*(1+(H507+IF(H507=21,5.2,IF(H507=10,1.4,IF(H507=4,0.5,0))))/100),2))))</f>
        <v/>
      </c>
      <c r="L507" s="27">
        <f>IF(G507="","",IF(NOT(ISNUMBER(G507)),"Revisa",ROUND(ROUND(G507*(1+N($K$8)/100)/$O$7,0)*$O$7,2)))</f>
        <v/>
      </c>
      <c r="M507" s="27">
        <f>IF(G507="","",IF(NOT(ISNUMBER(G507)),"Revisa",ROUND(ROUND(G507*(1+N($K$9)/100)/$O$7,0)*$O$7,2)))</f>
        <v/>
      </c>
      <c r="N507" s="27">
        <f>IF(G507="","",IF(NOT(ISNUMBER(G507)),"Revisa",ROUND(ROUND(G507*(1+N($K$10)/100)/$O$7,0)*$O$7,2)))</f>
        <v/>
      </c>
      <c r="O507">
        <f>IF(B507="","",MAX($O$12:O506)+1)</f>
        <v/>
      </c>
      <c r="P507">
        <f>IF(AND(B507="",G507&lt;&gt;""),1,0)</f>
        <v/>
      </c>
    </row>
    <row r="508">
      <c r="A508" s="21" t="n"/>
      <c r="B508" s="21" t="n"/>
      <c r="C508" s="21" t="n"/>
      <c r="D508" s="22" t="n"/>
      <c r="E508" s="21" t="n"/>
      <c r="F508" s="23" t="n"/>
      <c r="G508" s="24" t="n"/>
      <c r="H508" s="25" t="n"/>
      <c r="I508" s="26">
        <f>IF(OR(NOT(ISNUMBER(G508)),N(D508)&lt;=1),"",ROUND(G508/D508,3))</f>
        <v/>
      </c>
      <c r="J508" s="27">
        <f>IF(G508="","",IF(NOT(ISNUMBER(G508)),"Revisa",IF(H508="","Falta IVA",ROUND(G508*(1+H508/100),2))))</f>
        <v/>
      </c>
      <c r="K508" s="27">
        <f>IF(G508="","",IF(NOT(ISNUMBER(G508)),"Revisa",IF(H508="","Falta IVA",ROUND(G508*(1+(H508+IF(H508=21,5.2,IF(H508=10,1.4,IF(H508=4,0.5,0))))/100),2))))</f>
        <v/>
      </c>
      <c r="L508" s="27">
        <f>IF(G508="","",IF(NOT(ISNUMBER(G508)),"Revisa",ROUND(ROUND(G508*(1+N($K$8)/100)/$O$7,0)*$O$7,2)))</f>
        <v/>
      </c>
      <c r="M508" s="27">
        <f>IF(G508="","",IF(NOT(ISNUMBER(G508)),"Revisa",ROUND(ROUND(G508*(1+N($K$9)/100)/$O$7,0)*$O$7,2)))</f>
        <v/>
      </c>
      <c r="N508" s="27">
        <f>IF(G508="","",IF(NOT(ISNUMBER(G508)),"Revisa",ROUND(ROUND(G508*(1+N($K$10)/100)/$O$7,0)*$O$7,2)))</f>
        <v/>
      </c>
      <c r="O508">
        <f>IF(B508="","",MAX($O$12:O507)+1)</f>
        <v/>
      </c>
      <c r="P508">
        <f>IF(AND(B508="",G508&lt;&gt;""),1,0)</f>
        <v/>
      </c>
    </row>
    <row r="509">
      <c r="A509" s="21" t="n"/>
      <c r="B509" s="21" t="n"/>
      <c r="C509" s="21" t="n"/>
      <c r="D509" s="22" t="n"/>
      <c r="E509" s="21" t="n"/>
      <c r="F509" s="23" t="n"/>
      <c r="G509" s="24" t="n"/>
      <c r="H509" s="25" t="n"/>
      <c r="I509" s="26">
        <f>IF(OR(NOT(ISNUMBER(G509)),N(D509)&lt;=1),"",ROUND(G509/D509,3))</f>
        <v/>
      </c>
      <c r="J509" s="27">
        <f>IF(G509="","",IF(NOT(ISNUMBER(G509)),"Revisa",IF(H509="","Falta IVA",ROUND(G509*(1+H509/100),2))))</f>
        <v/>
      </c>
      <c r="K509" s="27">
        <f>IF(G509="","",IF(NOT(ISNUMBER(G509)),"Revisa",IF(H509="","Falta IVA",ROUND(G509*(1+(H509+IF(H509=21,5.2,IF(H509=10,1.4,IF(H509=4,0.5,0))))/100),2))))</f>
        <v/>
      </c>
      <c r="L509" s="27">
        <f>IF(G509="","",IF(NOT(ISNUMBER(G509)),"Revisa",ROUND(ROUND(G509*(1+N($K$8)/100)/$O$7,0)*$O$7,2)))</f>
        <v/>
      </c>
      <c r="M509" s="27">
        <f>IF(G509="","",IF(NOT(ISNUMBER(G509)),"Revisa",ROUND(ROUND(G509*(1+N($K$9)/100)/$O$7,0)*$O$7,2)))</f>
        <v/>
      </c>
      <c r="N509" s="27">
        <f>IF(G509="","",IF(NOT(ISNUMBER(G509)),"Revisa",ROUND(ROUND(G509*(1+N($K$10)/100)/$O$7,0)*$O$7,2)))</f>
        <v/>
      </c>
      <c r="O509">
        <f>IF(B509="","",MAX($O$12:O508)+1)</f>
        <v/>
      </c>
      <c r="P509">
        <f>IF(AND(B509="",G509&lt;&gt;""),1,0)</f>
        <v/>
      </c>
    </row>
    <row r="510">
      <c r="A510" s="21" t="n"/>
      <c r="B510" s="21" t="n"/>
      <c r="C510" s="21" t="n"/>
      <c r="D510" s="22" t="n"/>
      <c r="E510" s="21" t="n"/>
      <c r="F510" s="23" t="n"/>
      <c r="G510" s="24" t="n"/>
      <c r="H510" s="25" t="n"/>
      <c r="I510" s="26">
        <f>IF(OR(NOT(ISNUMBER(G510)),N(D510)&lt;=1),"",ROUND(G510/D510,3))</f>
        <v/>
      </c>
      <c r="J510" s="27">
        <f>IF(G510="","",IF(NOT(ISNUMBER(G510)),"Revisa",IF(H510="","Falta IVA",ROUND(G510*(1+H510/100),2))))</f>
        <v/>
      </c>
      <c r="K510" s="27">
        <f>IF(G510="","",IF(NOT(ISNUMBER(G510)),"Revisa",IF(H510="","Falta IVA",ROUND(G510*(1+(H510+IF(H510=21,5.2,IF(H510=10,1.4,IF(H510=4,0.5,0))))/100),2))))</f>
        <v/>
      </c>
      <c r="L510" s="27">
        <f>IF(G510="","",IF(NOT(ISNUMBER(G510)),"Revisa",ROUND(ROUND(G510*(1+N($K$8)/100)/$O$7,0)*$O$7,2)))</f>
        <v/>
      </c>
      <c r="M510" s="27">
        <f>IF(G510="","",IF(NOT(ISNUMBER(G510)),"Revisa",ROUND(ROUND(G510*(1+N($K$9)/100)/$O$7,0)*$O$7,2)))</f>
        <v/>
      </c>
      <c r="N510" s="27">
        <f>IF(G510="","",IF(NOT(ISNUMBER(G510)),"Revisa",ROUND(ROUND(G510*(1+N($K$10)/100)/$O$7,0)*$O$7,2)))</f>
        <v/>
      </c>
      <c r="O510">
        <f>IF(B510="","",MAX($O$12:O509)+1)</f>
        <v/>
      </c>
      <c r="P510">
        <f>IF(AND(B510="",G510&lt;&gt;""),1,0)</f>
        <v/>
      </c>
    </row>
    <row r="511">
      <c r="A511" s="21" t="n"/>
      <c r="B511" s="21" t="n"/>
      <c r="C511" s="21" t="n"/>
      <c r="D511" s="22" t="n"/>
      <c r="E511" s="21" t="n"/>
      <c r="F511" s="23" t="n"/>
      <c r="G511" s="24" t="n"/>
      <c r="H511" s="25" t="n"/>
      <c r="I511" s="26">
        <f>IF(OR(NOT(ISNUMBER(G511)),N(D511)&lt;=1),"",ROUND(G511/D511,3))</f>
        <v/>
      </c>
      <c r="J511" s="27">
        <f>IF(G511="","",IF(NOT(ISNUMBER(G511)),"Revisa",IF(H511="","Falta IVA",ROUND(G511*(1+H511/100),2))))</f>
        <v/>
      </c>
      <c r="K511" s="27">
        <f>IF(G511="","",IF(NOT(ISNUMBER(G511)),"Revisa",IF(H511="","Falta IVA",ROUND(G511*(1+(H511+IF(H511=21,5.2,IF(H511=10,1.4,IF(H511=4,0.5,0))))/100),2))))</f>
        <v/>
      </c>
      <c r="L511" s="27">
        <f>IF(G511="","",IF(NOT(ISNUMBER(G511)),"Revisa",ROUND(ROUND(G511*(1+N($K$8)/100)/$O$7,0)*$O$7,2)))</f>
        <v/>
      </c>
      <c r="M511" s="27">
        <f>IF(G511="","",IF(NOT(ISNUMBER(G511)),"Revisa",ROUND(ROUND(G511*(1+N($K$9)/100)/$O$7,0)*$O$7,2)))</f>
        <v/>
      </c>
      <c r="N511" s="27">
        <f>IF(G511="","",IF(NOT(ISNUMBER(G511)),"Revisa",ROUND(ROUND(G511*(1+N($K$10)/100)/$O$7,0)*$O$7,2)))</f>
        <v/>
      </c>
      <c r="O511">
        <f>IF(B511="","",MAX($O$12:O510)+1)</f>
        <v/>
      </c>
      <c r="P511">
        <f>IF(AND(B511="",G511&lt;&gt;""),1,0)</f>
        <v/>
      </c>
    </row>
    <row r="512">
      <c r="A512" s="21" t="n"/>
      <c r="B512" s="21" t="n"/>
      <c r="C512" s="21" t="n"/>
      <c r="D512" s="22" t="n"/>
      <c r="E512" s="21" t="n"/>
      <c r="F512" s="23" t="n"/>
      <c r="G512" s="24" t="n"/>
      <c r="H512" s="25" t="n"/>
      <c r="I512" s="26">
        <f>IF(OR(NOT(ISNUMBER(G512)),N(D512)&lt;=1),"",ROUND(G512/D512,3))</f>
        <v/>
      </c>
      <c r="J512" s="27">
        <f>IF(G512="","",IF(NOT(ISNUMBER(G512)),"Revisa",IF(H512="","Falta IVA",ROUND(G512*(1+H512/100),2))))</f>
        <v/>
      </c>
      <c r="K512" s="27">
        <f>IF(G512="","",IF(NOT(ISNUMBER(G512)),"Revisa",IF(H512="","Falta IVA",ROUND(G512*(1+(H512+IF(H512=21,5.2,IF(H512=10,1.4,IF(H512=4,0.5,0))))/100),2))))</f>
        <v/>
      </c>
      <c r="L512" s="27">
        <f>IF(G512="","",IF(NOT(ISNUMBER(G512)),"Revisa",ROUND(ROUND(G512*(1+N($K$8)/100)/$O$7,0)*$O$7,2)))</f>
        <v/>
      </c>
      <c r="M512" s="27">
        <f>IF(G512="","",IF(NOT(ISNUMBER(G512)),"Revisa",ROUND(ROUND(G512*(1+N($K$9)/100)/$O$7,0)*$O$7,2)))</f>
        <v/>
      </c>
      <c r="N512" s="27">
        <f>IF(G512="","",IF(NOT(ISNUMBER(G512)),"Revisa",ROUND(ROUND(G512*(1+N($K$10)/100)/$O$7,0)*$O$7,2)))</f>
        <v/>
      </c>
      <c r="O512">
        <f>IF(B512="","",MAX($O$12:O511)+1)</f>
        <v/>
      </c>
      <c r="P512">
        <f>IF(AND(B512="",G512&lt;&gt;""),1,0)</f>
        <v/>
      </c>
    </row>
  </sheetData>
  <sheetProtection selectLockedCells="0" selectUnlockedCells="0" sheet="1" objects="0" insertRows="1" insertHyperlinks="1" autoFilter="0" scenarios="0" formatColumns="0" deleteColumns="1" insertColumns="1" pivotTables="1" deleteRows="1" formatCells="0" formatRows="0" sort="0"/>
  <autoFilter ref="A12:H512"/>
  <mergeCells count="19">
    <mergeCell ref="B7:F7"/>
    <mergeCell ref="H1:I1"/>
    <mergeCell ref="A11:N11"/>
    <mergeCell ref="A3:F3"/>
    <mergeCell ref="H7:J7"/>
    <mergeCell ref="A2:F2"/>
    <mergeCell ref="H5:N5"/>
    <mergeCell ref="A5:F5"/>
    <mergeCell ref="K1:L1"/>
    <mergeCell ref="B8:F8"/>
    <mergeCell ref="M7:N7"/>
    <mergeCell ref="M6:N6"/>
    <mergeCell ref="H8:J8"/>
    <mergeCell ref="B9:F9"/>
    <mergeCell ref="H10:J10"/>
    <mergeCell ref="B6:F6"/>
    <mergeCell ref="A1:F1"/>
    <mergeCell ref="H9:J9"/>
    <mergeCell ref="H6:J6"/>
  </mergeCells>
  <conditionalFormatting sqref="H13:H512">
    <cfRule type="expression" priority="1" dxfId="0">
      <formula>AND(ISNUMBER($G13),$H13="")</formula>
    </cfRule>
  </conditionalFormatting>
  <conditionalFormatting sqref="J13:N512">
    <cfRule type="expression" priority="2" dxfId="1">
      <formula>OR(J13="Revisa",J13="Falta IVA")</formula>
    </cfRule>
  </conditionalFormatting>
  <conditionalFormatting sqref="G13:G512">
    <cfRule type="expression" priority="3" dxfId="0">
      <formula>AND($G13&lt;&gt;"",NOT(ISNUMBER($G13)))</formula>
    </cfRule>
  </conditionalFormatting>
  <dataValidations count="7">
    <dataValidation sqref="C13:C512" showDropDown="0" showInputMessage="0" showErrorMessage="0" allowBlank="1" type="list">
      <formula1>"Caja,Pack,Unidad,Barril,Garrafa,Bandeja,Saco,Kg"</formula1>
    </dataValidation>
    <dataValidation sqref="D13:D512" showDropDown="0" showInputMessage="0" showErrorMessage="1" allowBlank="1" errorTitle="Uds. por caja o pack" error="Escribe cuántas unidades trae cada caja o pack: un número entero (1 si lo vendes por unidades sueltas)." type="whole" operator="greaterThanOrEqual">
      <formula1>1</formula1>
    </dataValidation>
    <dataValidation sqref="G13:G512" showDropDown="0" showInputMessage="0" showErrorMessage="1" allowBlank="1" errorTitle="Precio base" error="Escribe el precio sin IVA de una caja o formato, como número: por ejemplo, 19,00." type="decimal" operator="greaterThanOrEqual">
      <formula1>0</formula1>
    </dataValidation>
    <dataValidation sqref="H13:H512" showDropDown="0" showInputMessage="0" showErrorMessage="1" allowBlank="1" errorTitle="IVA" error="Elige 21, 10 o 4 de la lista." type="list">
      <formula1>"21,10,4"</formula1>
    </dataValidation>
    <dataValidation sqref="K8:K10" showDropDown="0" showInputMessage="0" showErrorMessage="1" allowBlank="1" errorTitle="% de la tarifa" error="Escribe el % sin el signo, con el guion del teclado para el menos: -5 para un 5 % menos; 3 para un 3 % más." type="decimal" operator="between">
      <formula1>-90</formula1>
      <formula2>100</formula2>
    </dataValidation>
    <dataValidation sqref="M7" showDropDown="0" showInputMessage="0" showErrorMessage="1" allowBlank="0" errorTitle="Redondeo" error="Elige Céntimo, 5 céntimos o 10 céntimos." type="list">
      <formula1>"Céntimo,5 céntimos,10 céntimos"</formula1>
    </dataValidation>
    <dataValidation sqref="H1 K1" showDropDown="0" showInputMessage="0" showErrorMessage="1" allowBlank="1" errorTitle="Fecha" error="Escribe una fecha: por ejemplo, 01/01/2027." type="date" operator="greaterThan">
      <formula1>36526</formula1>
    </dataValidation>
  </dataValidations>
  <pageMargins left="0.4" right="0.4" top="0.5" bottom="0.5" header="0.5" footer="0.5"/>
  <pageSetup orientation="landscape" paperSize="9" fitToHeight="0" fitToWidth="1"/>
  <headerFooter>
    <oddHeader/>
    <oddFooter>&amp;L&amp;8 Tarifa interna (no la mandes: lleva todas tus tarifas)&amp;R&amp;8 Página &amp;P de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M510"/>
  <sheetViews>
    <sheetView showGridLines="0" tabSelected="0" workbookViewId="0">
      <pane ySplit="10" topLeftCell="A11" activePane="bottomLeft" state="frozen"/>
      <selection pane="bottomLeft" activeCell="A1" sqref="A1"/>
    </sheetView>
  </sheetViews>
  <sheetFormatPr baseColWidth="8" defaultRowHeight="15"/>
  <cols>
    <col width="12" customWidth="1" min="1" max="1"/>
    <col width="10" customWidth="1" min="2" max="2"/>
    <col width="44" customWidth="1" min="3" max="3"/>
    <col width="9" customWidth="1" min="4" max="4"/>
    <col width="7" customWidth="1" min="5" max="5"/>
    <col width="11" customWidth="1" min="6" max="6"/>
    <col width="10" customWidth="1" min="7" max="7"/>
    <col width="6" customWidth="1" min="8" max="8"/>
    <col width="13" customWidth="1" min="9" max="9"/>
    <col hidden="1" width="5" customWidth="1" min="10" max="10"/>
    <col width="3" customWidth="1" min="11" max="11"/>
    <col width="24" customWidth="1" min="12" max="12"/>
    <col width="22" customWidth="1" min="13" max="13"/>
  </cols>
  <sheetData>
    <row r="1" ht="24" customHeight="1">
      <c r="A1" s="4" t="inlineStr">
        <is>
          <t>TARIFA DE PRECIOS</t>
        </is>
      </c>
      <c r="G1" s="5" t="inlineStr">
        <is>
          <t>Válida desde</t>
        </is>
      </c>
      <c r="H1" s="28">
        <f>IF(ISNUMBER(Tarifa!H1),Tarifa!H1,"")</f>
        <v/>
      </c>
      <c r="I1" s="29" t="n"/>
      <c r="J1">
        <f>IFERROR(MATCH($M$2,Tarifa!$H$7:$H$10,0),"")</f>
        <v/>
      </c>
      <c r="L1" s="13" t="inlineStr">
        <is>
          <t>Elige aquí (estas columnas no se imprimen)</t>
        </is>
      </c>
      <c r="M1" s="14" t="n"/>
    </row>
    <row r="2" ht="20" customHeight="1">
      <c r="A2" s="11">
        <f>Tarifa!A2&amp;""</f>
        <v/>
      </c>
      <c r="G2" s="5" t="inlineStr">
        <is>
          <t>hasta</t>
        </is>
      </c>
      <c r="H2" s="28">
        <f>IF(ISNUMBER(Tarifa!K1),Tarifa!K1,"")</f>
        <v/>
      </c>
      <c r="I2" s="29" t="n"/>
      <c r="J2">
        <f>IF(J1="","",N(INDEX(Tarifa!$K$7:$K$10,J1)))</f>
        <v/>
      </c>
      <c r="L2" s="5" t="inlineStr">
        <is>
          <t>Tarifa</t>
        </is>
      </c>
      <c r="M2" s="30" t="inlineStr">
        <is>
          <t>Hostelería</t>
        </is>
      </c>
    </row>
    <row r="3" ht="20" customHeight="1">
      <c r="A3" s="31">
        <f>Tarifa!A3&amp;""</f>
        <v/>
      </c>
      <c r="J3">
        <f>Tarifa!$O$7</f>
        <v/>
      </c>
      <c r="L3" s="5" t="inlineStr">
        <is>
          <t>Precio con impuestos</t>
        </is>
      </c>
      <c r="M3" s="30" t="inlineStr">
        <is>
          <t>No</t>
        </is>
      </c>
    </row>
    <row r="4" ht="20" customHeight="1">
      <c r="A4" s="32">
        <f>IF($M$4="","","Para: "&amp;$M$4)</f>
        <v/>
      </c>
      <c r="L4" s="5" t="inlineStr">
        <is>
          <t>Cliente (opcional)</t>
        </is>
      </c>
      <c r="M4" s="30" t="n"/>
    </row>
    <row r="5" ht="18" customHeight="1">
      <c r="A5" s="5" t="inlineStr">
        <is>
          <t>Portes</t>
        </is>
      </c>
      <c r="B5" s="15" t="n"/>
      <c r="C5" s="33">
        <f>Tarifa!B6&amp;""</f>
        <v/>
      </c>
      <c r="D5" s="29" t="n"/>
      <c r="E5" s="29" t="n"/>
      <c r="F5" s="29" t="n"/>
      <c r="G5" s="29" t="n"/>
      <c r="H5" s="29" t="n"/>
      <c r="I5" s="29" t="n"/>
      <c r="L5" s="34" t="inlineStr">
        <is>
          <t>«Precio con impuestos»: «No» para bares y empresas; «Con IVA y recargo» para las tiendas en recargo de equivalencia. Después, guarda en PDF solo esta hoja (Archivo › Guardar una copia › PDF › Opciones) y mándasela.</t>
        </is>
      </c>
    </row>
    <row r="6" ht="18" customHeight="1">
      <c r="A6" s="5" t="inlineStr">
        <is>
          <t>Pedido mínimo</t>
        </is>
      </c>
      <c r="B6" s="15" t="n"/>
      <c r="C6" s="33">
        <f>Tarifa!B7&amp;""</f>
        <v/>
      </c>
      <c r="D6" s="29" t="n"/>
      <c r="E6" s="29" t="n"/>
      <c r="F6" s="29" t="n"/>
      <c r="G6" s="29" t="n"/>
      <c r="H6" s="29" t="n"/>
      <c r="I6" s="29" t="n"/>
    </row>
    <row r="7" ht="18" customHeight="1">
      <c r="A7" s="5" t="inlineStr">
        <is>
          <t>Forma de pago</t>
        </is>
      </c>
      <c r="B7" s="15" t="n"/>
      <c r="C7" s="33">
        <f>Tarifa!B8&amp;""</f>
        <v/>
      </c>
      <c r="D7" s="29" t="n"/>
      <c r="E7" s="29" t="n"/>
      <c r="F7" s="29" t="n"/>
      <c r="G7" s="29" t="n"/>
      <c r="H7" s="29" t="n"/>
      <c r="I7" s="29" t="n"/>
    </row>
    <row r="8" ht="18" customHeight="1">
      <c r="A8" s="5" t="inlineStr">
        <is>
          <t>Observaciones</t>
        </is>
      </c>
      <c r="B8" s="15" t="n"/>
      <c r="C8" s="33">
        <f>Tarifa!B9&amp;""</f>
        <v/>
      </c>
      <c r="D8" s="29" t="n"/>
      <c r="E8" s="29" t="n"/>
      <c r="F8" s="29" t="n"/>
      <c r="G8" s="29" t="n"/>
      <c r="H8" s="29" t="n"/>
      <c r="I8" s="29" t="n"/>
      <c r="L8" s="5" t="inlineStr">
        <is>
          <t>Artículos en esta tarifa</t>
        </is>
      </c>
      <c r="M8" s="35">
        <f>COUNT(J11:J510)</f>
        <v/>
      </c>
    </row>
    <row r="9">
      <c r="A9" s="36" t="inlineStr">
        <is>
          <t>Precios en euros, sin IVA, por caja o formato. El precio por unidad es orientativo: sirve para comparar.</t>
        </is>
      </c>
      <c r="L9" s="37">
        <f>TRIM(IF($J$1="","Elige la tarifa otra vez en la lista. ","")&amp;IF(Tarifa!$A$11&lt;&gt;"","En la hoja «Tarifa»: "&amp;Tarifa!$A$11,""))</f>
        <v/>
      </c>
    </row>
    <row r="10" ht="30" customHeight="1">
      <c r="A10" s="13" t="inlineStr">
        <is>
          <t>Familia</t>
        </is>
      </c>
      <c r="B10" s="13" t="inlineStr">
        <is>
          <t>Código</t>
        </is>
      </c>
      <c r="C10" s="13" t="inlineStr">
        <is>
          <t>Descripción</t>
        </is>
      </c>
      <c r="D10" s="13" t="inlineStr">
        <is>
          <t>Formato</t>
        </is>
      </c>
      <c r="E10" s="13" t="inlineStr">
        <is>
          <t>Uds. por caja</t>
        </is>
      </c>
      <c r="F10" s="13" t="inlineStr">
        <is>
          <t>Precio sin IVA</t>
        </is>
      </c>
      <c r="G10" s="13" t="inlineStr">
        <is>
          <t>Precio por unidad</t>
        </is>
      </c>
      <c r="H10" s="13" t="inlineStr">
        <is>
          <t>IVA %</t>
        </is>
      </c>
      <c r="I10" s="13">
        <f>IF($M$3="Con IVA","Precio con IVA",IF($M$3="Con IVA y recargo","Con IVA y recargo",""))</f>
        <v/>
      </c>
    </row>
    <row r="11" ht="17" customHeight="1">
      <c r="A11" s="38">
        <f>IF($J11="","",INDEX(Tarifa!$E$13:$E$512,$J11)&amp;"")</f>
        <v/>
      </c>
      <c r="B11" s="39">
        <f>IF($J11="","",INDEX(Tarifa!$A$13:$A$512,$J11)&amp;"")</f>
        <v/>
      </c>
      <c r="C11" s="39">
        <f>IF($J11="","",INDEX(Tarifa!$B$13:$B$512,$J11)&amp;"")</f>
        <v/>
      </c>
      <c r="D11" s="39">
        <f>IF($J11="","",INDEX(Tarifa!$C$13:$C$512,$J11)&amp;"")</f>
        <v/>
      </c>
      <c r="E11" s="40">
        <f>IF($J11="","",IF(INDEX(Tarifa!$D$13:$D$512,$J11)="","",INDEX(Tarifa!$D$13:$D$512,$J11)))</f>
        <v/>
      </c>
      <c r="F11" s="41">
        <f>IF(OR($J11="",$J$1=""),"",IF(INDEX(Tarifa!$G$13:$G$512,$J11)="","",IF(NOT(ISNUMBER(INDEX(Tarifa!$G$13:$G$512,$J11))),"Revisa",IF($J$1=1,INDEX(Tarifa!$G$13:$G$512,$J11),ROUND(ROUND(INDEX(Tarifa!$G$13:$G$512,$J11)*(1+$J$2/100)/$J$3,0)*$J$3,2)))))</f>
        <v/>
      </c>
      <c r="G11" s="42">
        <f>IF(OR(NOT(ISNUMBER(F11)),N(E11)&lt;=1),"",ROUND(F11/E11,3))</f>
        <v/>
      </c>
      <c r="H11" s="43">
        <f>IF($J11="","",IF(INDEX(Tarifa!$H$13:$H$512,$J11)="","",INDEX(Tarifa!$H$13:$H$512,$J11)))</f>
        <v/>
      </c>
      <c r="I11" s="41">
        <f>IF(OR($M$3="No",$M$3="",NOT(ISNUMBER(F11))),"",IF(NOT(ISNUMBER(H11)),"Falta IVA",ROUND(F11*(1+(H11+IF($M$3="Con IVA y recargo",IF(H11=21,5.2,IF(H11=10,1.4,IF(H11=4,0.5,0))),0))/100),2)))</f>
        <v/>
      </c>
      <c r="J11">
        <f>IFERROR(MATCH(1,Tarifa!$O$13:$O$512,0),"")</f>
        <v/>
      </c>
    </row>
    <row r="12" ht="17" customHeight="1">
      <c r="A12" s="38">
        <f>IF($J12="","",IFERROR(IF(INDEX(Tarifa!$E$13:$E$512,$J12)&amp;""=INDEX(Tarifa!$E$13:$E$512,$J11)&amp;"","",INDEX(Tarifa!$E$13:$E$512,$J12)&amp;""),""))</f>
        <v/>
      </c>
      <c r="B12" s="39">
        <f>IF($J12="","",INDEX(Tarifa!$A$13:$A$512,$J12)&amp;"")</f>
        <v/>
      </c>
      <c r="C12" s="39">
        <f>IF($J12="","",INDEX(Tarifa!$B$13:$B$512,$J12)&amp;"")</f>
        <v/>
      </c>
      <c r="D12" s="39">
        <f>IF($J12="","",INDEX(Tarifa!$C$13:$C$512,$J12)&amp;"")</f>
        <v/>
      </c>
      <c r="E12" s="40">
        <f>IF($J12="","",IF(INDEX(Tarifa!$D$13:$D$512,$J12)="","",INDEX(Tarifa!$D$13:$D$512,$J12)))</f>
        <v/>
      </c>
      <c r="F12" s="41">
        <f>IF(OR($J12="",$J$1=""),"",IF(INDEX(Tarifa!$G$13:$G$512,$J12)="","",IF(NOT(ISNUMBER(INDEX(Tarifa!$G$13:$G$512,$J12))),"Revisa",IF($J$1=1,INDEX(Tarifa!$G$13:$G$512,$J12),ROUND(ROUND(INDEX(Tarifa!$G$13:$G$512,$J12)*(1+$J$2/100)/$J$3,0)*$J$3,2)))))</f>
        <v/>
      </c>
      <c r="G12" s="42">
        <f>IF(OR(NOT(ISNUMBER(F12)),N(E12)&lt;=1),"",ROUND(F12/E12,3))</f>
        <v/>
      </c>
      <c r="H12" s="43">
        <f>IF($J12="","",IF(INDEX(Tarifa!$H$13:$H$512,$J12)="","",INDEX(Tarifa!$H$13:$H$512,$J12)))</f>
        <v/>
      </c>
      <c r="I12" s="41">
        <f>IF(OR($M$3="No",$M$3="",NOT(ISNUMBER(F12))),"",IF(NOT(ISNUMBER(H12)),"Falta IVA",ROUND(F12*(1+(H12+IF($M$3="Con IVA y recargo",IF(H12=21,5.2,IF(H12=10,1.4,IF(H12=4,0.5,0))),0))/100),2)))</f>
        <v/>
      </c>
      <c r="J12">
        <f>IFERROR(MATCH(2,Tarifa!$O$13:$O$512,0),"")</f>
        <v/>
      </c>
    </row>
    <row r="13" ht="17" customHeight="1">
      <c r="A13" s="38">
        <f>IF($J13="","",IFERROR(IF(INDEX(Tarifa!$E$13:$E$512,$J13)&amp;""=INDEX(Tarifa!$E$13:$E$512,$J12)&amp;"","",INDEX(Tarifa!$E$13:$E$512,$J13)&amp;""),""))</f>
        <v/>
      </c>
      <c r="B13" s="39">
        <f>IF($J13="","",INDEX(Tarifa!$A$13:$A$512,$J13)&amp;"")</f>
        <v/>
      </c>
      <c r="C13" s="39">
        <f>IF($J13="","",INDEX(Tarifa!$B$13:$B$512,$J13)&amp;"")</f>
        <v/>
      </c>
      <c r="D13" s="39">
        <f>IF($J13="","",INDEX(Tarifa!$C$13:$C$512,$J13)&amp;"")</f>
        <v/>
      </c>
      <c r="E13" s="40">
        <f>IF($J13="","",IF(INDEX(Tarifa!$D$13:$D$512,$J13)="","",INDEX(Tarifa!$D$13:$D$512,$J13)))</f>
        <v/>
      </c>
      <c r="F13" s="41">
        <f>IF(OR($J13="",$J$1=""),"",IF(INDEX(Tarifa!$G$13:$G$512,$J13)="","",IF(NOT(ISNUMBER(INDEX(Tarifa!$G$13:$G$512,$J13))),"Revisa",IF($J$1=1,INDEX(Tarifa!$G$13:$G$512,$J13),ROUND(ROUND(INDEX(Tarifa!$G$13:$G$512,$J13)*(1+$J$2/100)/$J$3,0)*$J$3,2)))))</f>
        <v/>
      </c>
      <c r="G13" s="42">
        <f>IF(OR(NOT(ISNUMBER(F13)),N(E13)&lt;=1),"",ROUND(F13/E13,3))</f>
        <v/>
      </c>
      <c r="H13" s="43">
        <f>IF($J13="","",IF(INDEX(Tarifa!$H$13:$H$512,$J13)="","",INDEX(Tarifa!$H$13:$H$512,$J13)))</f>
        <v/>
      </c>
      <c r="I13" s="41">
        <f>IF(OR($M$3="No",$M$3="",NOT(ISNUMBER(F13))),"",IF(NOT(ISNUMBER(H13)),"Falta IVA",ROUND(F13*(1+(H13+IF($M$3="Con IVA y recargo",IF(H13=21,5.2,IF(H13=10,1.4,IF(H13=4,0.5,0))),0))/100),2)))</f>
        <v/>
      </c>
      <c r="J13">
        <f>IFERROR(MATCH(3,Tarifa!$O$13:$O$512,0),"")</f>
        <v/>
      </c>
    </row>
    <row r="14" ht="17" customHeight="1">
      <c r="A14" s="38">
        <f>IF($J14="","",IFERROR(IF(INDEX(Tarifa!$E$13:$E$512,$J14)&amp;""=INDEX(Tarifa!$E$13:$E$512,$J13)&amp;"","",INDEX(Tarifa!$E$13:$E$512,$J14)&amp;""),""))</f>
        <v/>
      </c>
      <c r="B14" s="39">
        <f>IF($J14="","",INDEX(Tarifa!$A$13:$A$512,$J14)&amp;"")</f>
        <v/>
      </c>
      <c r="C14" s="39">
        <f>IF($J14="","",INDEX(Tarifa!$B$13:$B$512,$J14)&amp;"")</f>
        <v/>
      </c>
      <c r="D14" s="39">
        <f>IF($J14="","",INDEX(Tarifa!$C$13:$C$512,$J14)&amp;"")</f>
        <v/>
      </c>
      <c r="E14" s="40">
        <f>IF($J14="","",IF(INDEX(Tarifa!$D$13:$D$512,$J14)="","",INDEX(Tarifa!$D$13:$D$512,$J14)))</f>
        <v/>
      </c>
      <c r="F14" s="41">
        <f>IF(OR($J14="",$J$1=""),"",IF(INDEX(Tarifa!$G$13:$G$512,$J14)="","",IF(NOT(ISNUMBER(INDEX(Tarifa!$G$13:$G$512,$J14))),"Revisa",IF($J$1=1,INDEX(Tarifa!$G$13:$G$512,$J14),ROUND(ROUND(INDEX(Tarifa!$G$13:$G$512,$J14)*(1+$J$2/100)/$J$3,0)*$J$3,2)))))</f>
        <v/>
      </c>
      <c r="G14" s="42">
        <f>IF(OR(NOT(ISNUMBER(F14)),N(E14)&lt;=1),"",ROUND(F14/E14,3))</f>
        <v/>
      </c>
      <c r="H14" s="43">
        <f>IF($J14="","",IF(INDEX(Tarifa!$H$13:$H$512,$J14)="","",INDEX(Tarifa!$H$13:$H$512,$J14)))</f>
        <v/>
      </c>
      <c r="I14" s="41">
        <f>IF(OR($M$3="No",$M$3="",NOT(ISNUMBER(F14))),"",IF(NOT(ISNUMBER(H14)),"Falta IVA",ROUND(F14*(1+(H14+IF($M$3="Con IVA y recargo",IF(H14=21,5.2,IF(H14=10,1.4,IF(H14=4,0.5,0))),0))/100),2)))</f>
        <v/>
      </c>
      <c r="J14">
        <f>IFERROR(MATCH(4,Tarifa!$O$13:$O$512,0),"")</f>
        <v/>
      </c>
    </row>
    <row r="15" ht="17" customHeight="1">
      <c r="A15" s="38">
        <f>IF($J15="","",IFERROR(IF(INDEX(Tarifa!$E$13:$E$512,$J15)&amp;""=INDEX(Tarifa!$E$13:$E$512,$J14)&amp;"","",INDEX(Tarifa!$E$13:$E$512,$J15)&amp;""),""))</f>
        <v/>
      </c>
      <c r="B15" s="39">
        <f>IF($J15="","",INDEX(Tarifa!$A$13:$A$512,$J15)&amp;"")</f>
        <v/>
      </c>
      <c r="C15" s="39">
        <f>IF($J15="","",INDEX(Tarifa!$B$13:$B$512,$J15)&amp;"")</f>
        <v/>
      </c>
      <c r="D15" s="39">
        <f>IF($J15="","",INDEX(Tarifa!$C$13:$C$512,$J15)&amp;"")</f>
        <v/>
      </c>
      <c r="E15" s="40">
        <f>IF($J15="","",IF(INDEX(Tarifa!$D$13:$D$512,$J15)="","",INDEX(Tarifa!$D$13:$D$512,$J15)))</f>
        <v/>
      </c>
      <c r="F15" s="41">
        <f>IF(OR($J15="",$J$1=""),"",IF(INDEX(Tarifa!$G$13:$G$512,$J15)="","",IF(NOT(ISNUMBER(INDEX(Tarifa!$G$13:$G$512,$J15))),"Revisa",IF($J$1=1,INDEX(Tarifa!$G$13:$G$512,$J15),ROUND(ROUND(INDEX(Tarifa!$G$13:$G$512,$J15)*(1+$J$2/100)/$J$3,0)*$J$3,2)))))</f>
        <v/>
      </c>
      <c r="G15" s="42">
        <f>IF(OR(NOT(ISNUMBER(F15)),N(E15)&lt;=1),"",ROUND(F15/E15,3))</f>
        <v/>
      </c>
      <c r="H15" s="43">
        <f>IF($J15="","",IF(INDEX(Tarifa!$H$13:$H$512,$J15)="","",INDEX(Tarifa!$H$13:$H$512,$J15)))</f>
        <v/>
      </c>
      <c r="I15" s="41">
        <f>IF(OR($M$3="No",$M$3="",NOT(ISNUMBER(F15))),"",IF(NOT(ISNUMBER(H15)),"Falta IVA",ROUND(F15*(1+(H15+IF($M$3="Con IVA y recargo",IF(H15=21,5.2,IF(H15=10,1.4,IF(H15=4,0.5,0))),0))/100),2)))</f>
        <v/>
      </c>
      <c r="J15">
        <f>IFERROR(MATCH(5,Tarifa!$O$13:$O$512,0),"")</f>
        <v/>
      </c>
    </row>
    <row r="16" ht="17" customHeight="1">
      <c r="A16" s="38">
        <f>IF($J16="","",IFERROR(IF(INDEX(Tarifa!$E$13:$E$512,$J16)&amp;""=INDEX(Tarifa!$E$13:$E$512,$J15)&amp;"","",INDEX(Tarifa!$E$13:$E$512,$J16)&amp;""),""))</f>
        <v/>
      </c>
      <c r="B16" s="39">
        <f>IF($J16="","",INDEX(Tarifa!$A$13:$A$512,$J16)&amp;"")</f>
        <v/>
      </c>
      <c r="C16" s="39">
        <f>IF($J16="","",INDEX(Tarifa!$B$13:$B$512,$J16)&amp;"")</f>
        <v/>
      </c>
      <c r="D16" s="39">
        <f>IF($J16="","",INDEX(Tarifa!$C$13:$C$512,$J16)&amp;"")</f>
        <v/>
      </c>
      <c r="E16" s="40">
        <f>IF($J16="","",IF(INDEX(Tarifa!$D$13:$D$512,$J16)="","",INDEX(Tarifa!$D$13:$D$512,$J16)))</f>
        <v/>
      </c>
      <c r="F16" s="41">
        <f>IF(OR($J16="",$J$1=""),"",IF(INDEX(Tarifa!$G$13:$G$512,$J16)="","",IF(NOT(ISNUMBER(INDEX(Tarifa!$G$13:$G$512,$J16))),"Revisa",IF($J$1=1,INDEX(Tarifa!$G$13:$G$512,$J16),ROUND(ROUND(INDEX(Tarifa!$G$13:$G$512,$J16)*(1+$J$2/100)/$J$3,0)*$J$3,2)))))</f>
        <v/>
      </c>
      <c r="G16" s="42">
        <f>IF(OR(NOT(ISNUMBER(F16)),N(E16)&lt;=1),"",ROUND(F16/E16,3))</f>
        <v/>
      </c>
      <c r="H16" s="43">
        <f>IF($J16="","",IF(INDEX(Tarifa!$H$13:$H$512,$J16)="","",INDEX(Tarifa!$H$13:$H$512,$J16)))</f>
        <v/>
      </c>
      <c r="I16" s="41">
        <f>IF(OR($M$3="No",$M$3="",NOT(ISNUMBER(F16))),"",IF(NOT(ISNUMBER(H16)),"Falta IVA",ROUND(F16*(1+(H16+IF($M$3="Con IVA y recargo",IF(H16=21,5.2,IF(H16=10,1.4,IF(H16=4,0.5,0))),0))/100),2)))</f>
        <v/>
      </c>
      <c r="J16">
        <f>IFERROR(MATCH(6,Tarifa!$O$13:$O$512,0),"")</f>
        <v/>
      </c>
    </row>
    <row r="17" ht="17" customHeight="1">
      <c r="A17" s="38">
        <f>IF($J17="","",IFERROR(IF(INDEX(Tarifa!$E$13:$E$512,$J17)&amp;""=INDEX(Tarifa!$E$13:$E$512,$J16)&amp;"","",INDEX(Tarifa!$E$13:$E$512,$J17)&amp;""),""))</f>
        <v/>
      </c>
      <c r="B17" s="39">
        <f>IF($J17="","",INDEX(Tarifa!$A$13:$A$512,$J17)&amp;"")</f>
        <v/>
      </c>
      <c r="C17" s="39">
        <f>IF($J17="","",INDEX(Tarifa!$B$13:$B$512,$J17)&amp;"")</f>
        <v/>
      </c>
      <c r="D17" s="39">
        <f>IF($J17="","",INDEX(Tarifa!$C$13:$C$512,$J17)&amp;"")</f>
        <v/>
      </c>
      <c r="E17" s="40">
        <f>IF($J17="","",IF(INDEX(Tarifa!$D$13:$D$512,$J17)="","",INDEX(Tarifa!$D$13:$D$512,$J17)))</f>
        <v/>
      </c>
      <c r="F17" s="41">
        <f>IF(OR($J17="",$J$1=""),"",IF(INDEX(Tarifa!$G$13:$G$512,$J17)="","",IF(NOT(ISNUMBER(INDEX(Tarifa!$G$13:$G$512,$J17))),"Revisa",IF($J$1=1,INDEX(Tarifa!$G$13:$G$512,$J17),ROUND(ROUND(INDEX(Tarifa!$G$13:$G$512,$J17)*(1+$J$2/100)/$J$3,0)*$J$3,2)))))</f>
        <v/>
      </c>
      <c r="G17" s="42">
        <f>IF(OR(NOT(ISNUMBER(F17)),N(E17)&lt;=1),"",ROUND(F17/E17,3))</f>
        <v/>
      </c>
      <c r="H17" s="43">
        <f>IF($J17="","",IF(INDEX(Tarifa!$H$13:$H$512,$J17)="","",INDEX(Tarifa!$H$13:$H$512,$J17)))</f>
        <v/>
      </c>
      <c r="I17" s="41">
        <f>IF(OR($M$3="No",$M$3="",NOT(ISNUMBER(F17))),"",IF(NOT(ISNUMBER(H17)),"Falta IVA",ROUND(F17*(1+(H17+IF($M$3="Con IVA y recargo",IF(H17=21,5.2,IF(H17=10,1.4,IF(H17=4,0.5,0))),0))/100),2)))</f>
        <v/>
      </c>
      <c r="J17">
        <f>IFERROR(MATCH(7,Tarifa!$O$13:$O$512,0),"")</f>
        <v/>
      </c>
    </row>
    <row r="18" ht="17" customHeight="1">
      <c r="A18" s="38">
        <f>IF($J18="","",IFERROR(IF(INDEX(Tarifa!$E$13:$E$512,$J18)&amp;""=INDEX(Tarifa!$E$13:$E$512,$J17)&amp;"","",INDEX(Tarifa!$E$13:$E$512,$J18)&amp;""),""))</f>
        <v/>
      </c>
      <c r="B18" s="39">
        <f>IF($J18="","",INDEX(Tarifa!$A$13:$A$512,$J18)&amp;"")</f>
        <v/>
      </c>
      <c r="C18" s="39">
        <f>IF($J18="","",INDEX(Tarifa!$B$13:$B$512,$J18)&amp;"")</f>
        <v/>
      </c>
      <c r="D18" s="39">
        <f>IF($J18="","",INDEX(Tarifa!$C$13:$C$512,$J18)&amp;"")</f>
        <v/>
      </c>
      <c r="E18" s="40">
        <f>IF($J18="","",IF(INDEX(Tarifa!$D$13:$D$512,$J18)="","",INDEX(Tarifa!$D$13:$D$512,$J18)))</f>
        <v/>
      </c>
      <c r="F18" s="41">
        <f>IF(OR($J18="",$J$1=""),"",IF(INDEX(Tarifa!$G$13:$G$512,$J18)="","",IF(NOT(ISNUMBER(INDEX(Tarifa!$G$13:$G$512,$J18))),"Revisa",IF($J$1=1,INDEX(Tarifa!$G$13:$G$512,$J18),ROUND(ROUND(INDEX(Tarifa!$G$13:$G$512,$J18)*(1+$J$2/100)/$J$3,0)*$J$3,2)))))</f>
        <v/>
      </c>
      <c r="G18" s="42">
        <f>IF(OR(NOT(ISNUMBER(F18)),N(E18)&lt;=1),"",ROUND(F18/E18,3))</f>
        <v/>
      </c>
      <c r="H18" s="43">
        <f>IF($J18="","",IF(INDEX(Tarifa!$H$13:$H$512,$J18)="","",INDEX(Tarifa!$H$13:$H$512,$J18)))</f>
        <v/>
      </c>
      <c r="I18" s="41">
        <f>IF(OR($M$3="No",$M$3="",NOT(ISNUMBER(F18))),"",IF(NOT(ISNUMBER(H18)),"Falta IVA",ROUND(F18*(1+(H18+IF($M$3="Con IVA y recargo",IF(H18=21,5.2,IF(H18=10,1.4,IF(H18=4,0.5,0))),0))/100),2)))</f>
        <v/>
      </c>
      <c r="J18">
        <f>IFERROR(MATCH(8,Tarifa!$O$13:$O$512,0),"")</f>
        <v/>
      </c>
    </row>
    <row r="19" ht="17" customHeight="1">
      <c r="A19" s="38">
        <f>IF($J19="","",IFERROR(IF(INDEX(Tarifa!$E$13:$E$512,$J19)&amp;""=INDEX(Tarifa!$E$13:$E$512,$J18)&amp;"","",INDEX(Tarifa!$E$13:$E$512,$J19)&amp;""),""))</f>
        <v/>
      </c>
      <c r="B19" s="39">
        <f>IF($J19="","",INDEX(Tarifa!$A$13:$A$512,$J19)&amp;"")</f>
        <v/>
      </c>
      <c r="C19" s="39">
        <f>IF($J19="","",INDEX(Tarifa!$B$13:$B$512,$J19)&amp;"")</f>
        <v/>
      </c>
      <c r="D19" s="39">
        <f>IF($J19="","",INDEX(Tarifa!$C$13:$C$512,$J19)&amp;"")</f>
        <v/>
      </c>
      <c r="E19" s="40">
        <f>IF($J19="","",IF(INDEX(Tarifa!$D$13:$D$512,$J19)="","",INDEX(Tarifa!$D$13:$D$512,$J19)))</f>
        <v/>
      </c>
      <c r="F19" s="41">
        <f>IF(OR($J19="",$J$1=""),"",IF(INDEX(Tarifa!$G$13:$G$512,$J19)="","",IF(NOT(ISNUMBER(INDEX(Tarifa!$G$13:$G$512,$J19))),"Revisa",IF($J$1=1,INDEX(Tarifa!$G$13:$G$512,$J19),ROUND(ROUND(INDEX(Tarifa!$G$13:$G$512,$J19)*(1+$J$2/100)/$J$3,0)*$J$3,2)))))</f>
        <v/>
      </c>
      <c r="G19" s="42">
        <f>IF(OR(NOT(ISNUMBER(F19)),N(E19)&lt;=1),"",ROUND(F19/E19,3))</f>
        <v/>
      </c>
      <c r="H19" s="43">
        <f>IF($J19="","",IF(INDEX(Tarifa!$H$13:$H$512,$J19)="","",INDEX(Tarifa!$H$13:$H$512,$J19)))</f>
        <v/>
      </c>
      <c r="I19" s="41">
        <f>IF(OR($M$3="No",$M$3="",NOT(ISNUMBER(F19))),"",IF(NOT(ISNUMBER(H19)),"Falta IVA",ROUND(F19*(1+(H19+IF($M$3="Con IVA y recargo",IF(H19=21,5.2,IF(H19=10,1.4,IF(H19=4,0.5,0))),0))/100),2)))</f>
        <v/>
      </c>
      <c r="J19">
        <f>IFERROR(MATCH(9,Tarifa!$O$13:$O$512,0),"")</f>
        <v/>
      </c>
    </row>
    <row r="20" ht="17" customHeight="1">
      <c r="A20" s="38">
        <f>IF($J20="","",IFERROR(IF(INDEX(Tarifa!$E$13:$E$512,$J20)&amp;""=INDEX(Tarifa!$E$13:$E$512,$J19)&amp;"","",INDEX(Tarifa!$E$13:$E$512,$J20)&amp;""),""))</f>
        <v/>
      </c>
      <c r="B20" s="39">
        <f>IF($J20="","",INDEX(Tarifa!$A$13:$A$512,$J20)&amp;"")</f>
        <v/>
      </c>
      <c r="C20" s="39">
        <f>IF($J20="","",INDEX(Tarifa!$B$13:$B$512,$J20)&amp;"")</f>
        <v/>
      </c>
      <c r="D20" s="39">
        <f>IF($J20="","",INDEX(Tarifa!$C$13:$C$512,$J20)&amp;"")</f>
        <v/>
      </c>
      <c r="E20" s="40">
        <f>IF($J20="","",IF(INDEX(Tarifa!$D$13:$D$512,$J20)="","",INDEX(Tarifa!$D$13:$D$512,$J20)))</f>
        <v/>
      </c>
      <c r="F20" s="41">
        <f>IF(OR($J20="",$J$1=""),"",IF(INDEX(Tarifa!$G$13:$G$512,$J20)="","",IF(NOT(ISNUMBER(INDEX(Tarifa!$G$13:$G$512,$J20))),"Revisa",IF($J$1=1,INDEX(Tarifa!$G$13:$G$512,$J20),ROUND(ROUND(INDEX(Tarifa!$G$13:$G$512,$J20)*(1+$J$2/100)/$J$3,0)*$J$3,2)))))</f>
        <v/>
      </c>
      <c r="G20" s="42">
        <f>IF(OR(NOT(ISNUMBER(F20)),N(E20)&lt;=1),"",ROUND(F20/E20,3))</f>
        <v/>
      </c>
      <c r="H20" s="43">
        <f>IF($J20="","",IF(INDEX(Tarifa!$H$13:$H$512,$J20)="","",INDEX(Tarifa!$H$13:$H$512,$J20)))</f>
        <v/>
      </c>
      <c r="I20" s="41">
        <f>IF(OR($M$3="No",$M$3="",NOT(ISNUMBER(F20))),"",IF(NOT(ISNUMBER(H20)),"Falta IVA",ROUND(F20*(1+(H20+IF($M$3="Con IVA y recargo",IF(H20=21,5.2,IF(H20=10,1.4,IF(H20=4,0.5,0))),0))/100),2)))</f>
        <v/>
      </c>
      <c r="J20">
        <f>IFERROR(MATCH(10,Tarifa!$O$13:$O$512,0),"")</f>
        <v/>
      </c>
    </row>
    <row r="21" ht="17" customHeight="1">
      <c r="A21" s="38">
        <f>IF($J21="","",IFERROR(IF(INDEX(Tarifa!$E$13:$E$512,$J21)&amp;""=INDEX(Tarifa!$E$13:$E$512,$J20)&amp;"","",INDEX(Tarifa!$E$13:$E$512,$J21)&amp;""),""))</f>
        <v/>
      </c>
      <c r="B21" s="39">
        <f>IF($J21="","",INDEX(Tarifa!$A$13:$A$512,$J21)&amp;"")</f>
        <v/>
      </c>
      <c r="C21" s="39">
        <f>IF($J21="","",INDEX(Tarifa!$B$13:$B$512,$J21)&amp;"")</f>
        <v/>
      </c>
      <c r="D21" s="39">
        <f>IF($J21="","",INDEX(Tarifa!$C$13:$C$512,$J21)&amp;"")</f>
        <v/>
      </c>
      <c r="E21" s="40">
        <f>IF($J21="","",IF(INDEX(Tarifa!$D$13:$D$512,$J21)="","",INDEX(Tarifa!$D$13:$D$512,$J21)))</f>
        <v/>
      </c>
      <c r="F21" s="41">
        <f>IF(OR($J21="",$J$1=""),"",IF(INDEX(Tarifa!$G$13:$G$512,$J21)="","",IF(NOT(ISNUMBER(INDEX(Tarifa!$G$13:$G$512,$J21))),"Revisa",IF($J$1=1,INDEX(Tarifa!$G$13:$G$512,$J21),ROUND(ROUND(INDEX(Tarifa!$G$13:$G$512,$J21)*(1+$J$2/100)/$J$3,0)*$J$3,2)))))</f>
        <v/>
      </c>
      <c r="G21" s="42">
        <f>IF(OR(NOT(ISNUMBER(F21)),N(E21)&lt;=1),"",ROUND(F21/E21,3))</f>
        <v/>
      </c>
      <c r="H21" s="43">
        <f>IF($J21="","",IF(INDEX(Tarifa!$H$13:$H$512,$J21)="","",INDEX(Tarifa!$H$13:$H$512,$J21)))</f>
        <v/>
      </c>
      <c r="I21" s="41">
        <f>IF(OR($M$3="No",$M$3="",NOT(ISNUMBER(F21))),"",IF(NOT(ISNUMBER(H21)),"Falta IVA",ROUND(F21*(1+(H21+IF($M$3="Con IVA y recargo",IF(H21=21,5.2,IF(H21=10,1.4,IF(H21=4,0.5,0))),0))/100),2)))</f>
        <v/>
      </c>
      <c r="J21">
        <f>IFERROR(MATCH(11,Tarifa!$O$13:$O$512,0),"")</f>
        <v/>
      </c>
    </row>
    <row r="22" ht="17" customHeight="1">
      <c r="A22" s="38">
        <f>IF($J22="","",IFERROR(IF(INDEX(Tarifa!$E$13:$E$512,$J22)&amp;""=INDEX(Tarifa!$E$13:$E$512,$J21)&amp;"","",INDEX(Tarifa!$E$13:$E$512,$J22)&amp;""),""))</f>
        <v/>
      </c>
      <c r="B22" s="39">
        <f>IF($J22="","",INDEX(Tarifa!$A$13:$A$512,$J22)&amp;"")</f>
        <v/>
      </c>
      <c r="C22" s="39">
        <f>IF($J22="","",INDEX(Tarifa!$B$13:$B$512,$J22)&amp;"")</f>
        <v/>
      </c>
      <c r="D22" s="39">
        <f>IF($J22="","",INDEX(Tarifa!$C$13:$C$512,$J22)&amp;"")</f>
        <v/>
      </c>
      <c r="E22" s="40">
        <f>IF($J22="","",IF(INDEX(Tarifa!$D$13:$D$512,$J22)="","",INDEX(Tarifa!$D$13:$D$512,$J22)))</f>
        <v/>
      </c>
      <c r="F22" s="41">
        <f>IF(OR($J22="",$J$1=""),"",IF(INDEX(Tarifa!$G$13:$G$512,$J22)="","",IF(NOT(ISNUMBER(INDEX(Tarifa!$G$13:$G$512,$J22))),"Revisa",IF($J$1=1,INDEX(Tarifa!$G$13:$G$512,$J22),ROUND(ROUND(INDEX(Tarifa!$G$13:$G$512,$J22)*(1+$J$2/100)/$J$3,0)*$J$3,2)))))</f>
        <v/>
      </c>
      <c r="G22" s="42">
        <f>IF(OR(NOT(ISNUMBER(F22)),N(E22)&lt;=1),"",ROUND(F22/E22,3))</f>
        <v/>
      </c>
      <c r="H22" s="43">
        <f>IF($J22="","",IF(INDEX(Tarifa!$H$13:$H$512,$J22)="","",INDEX(Tarifa!$H$13:$H$512,$J22)))</f>
        <v/>
      </c>
      <c r="I22" s="41">
        <f>IF(OR($M$3="No",$M$3="",NOT(ISNUMBER(F22))),"",IF(NOT(ISNUMBER(H22)),"Falta IVA",ROUND(F22*(1+(H22+IF($M$3="Con IVA y recargo",IF(H22=21,5.2,IF(H22=10,1.4,IF(H22=4,0.5,0))),0))/100),2)))</f>
        <v/>
      </c>
      <c r="J22">
        <f>IFERROR(MATCH(12,Tarifa!$O$13:$O$512,0),"")</f>
        <v/>
      </c>
    </row>
    <row r="23" ht="17" customHeight="1">
      <c r="A23" s="38">
        <f>IF($J23="","",IFERROR(IF(INDEX(Tarifa!$E$13:$E$512,$J23)&amp;""=INDEX(Tarifa!$E$13:$E$512,$J22)&amp;"","",INDEX(Tarifa!$E$13:$E$512,$J23)&amp;""),""))</f>
        <v/>
      </c>
      <c r="B23" s="39">
        <f>IF($J23="","",INDEX(Tarifa!$A$13:$A$512,$J23)&amp;"")</f>
        <v/>
      </c>
      <c r="C23" s="39">
        <f>IF($J23="","",INDEX(Tarifa!$B$13:$B$512,$J23)&amp;"")</f>
        <v/>
      </c>
      <c r="D23" s="39">
        <f>IF($J23="","",INDEX(Tarifa!$C$13:$C$512,$J23)&amp;"")</f>
        <v/>
      </c>
      <c r="E23" s="40">
        <f>IF($J23="","",IF(INDEX(Tarifa!$D$13:$D$512,$J23)="","",INDEX(Tarifa!$D$13:$D$512,$J23)))</f>
        <v/>
      </c>
      <c r="F23" s="41">
        <f>IF(OR($J23="",$J$1=""),"",IF(INDEX(Tarifa!$G$13:$G$512,$J23)="","",IF(NOT(ISNUMBER(INDEX(Tarifa!$G$13:$G$512,$J23))),"Revisa",IF($J$1=1,INDEX(Tarifa!$G$13:$G$512,$J23),ROUND(ROUND(INDEX(Tarifa!$G$13:$G$512,$J23)*(1+$J$2/100)/$J$3,0)*$J$3,2)))))</f>
        <v/>
      </c>
      <c r="G23" s="42">
        <f>IF(OR(NOT(ISNUMBER(F23)),N(E23)&lt;=1),"",ROUND(F23/E23,3))</f>
        <v/>
      </c>
      <c r="H23" s="43">
        <f>IF($J23="","",IF(INDEX(Tarifa!$H$13:$H$512,$J23)="","",INDEX(Tarifa!$H$13:$H$512,$J23)))</f>
        <v/>
      </c>
      <c r="I23" s="41">
        <f>IF(OR($M$3="No",$M$3="",NOT(ISNUMBER(F23))),"",IF(NOT(ISNUMBER(H23)),"Falta IVA",ROUND(F23*(1+(H23+IF($M$3="Con IVA y recargo",IF(H23=21,5.2,IF(H23=10,1.4,IF(H23=4,0.5,0))),0))/100),2)))</f>
        <v/>
      </c>
      <c r="J23">
        <f>IFERROR(MATCH(13,Tarifa!$O$13:$O$512,0),"")</f>
        <v/>
      </c>
    </row>
    <row r="24" ht="17" customHeight="1">
      <c r="A24" s="38">
        <f>IF($J24="","",IFERROR(IF(INDEX(Tarifa!$E$13:$E$512,$J24)&amp;""=INDEX(Tarifa!$E$13:$E$512,$J23)&amp;"","",INDEX(Tarifa!$E$13:$E$512,$J24)&amp;""),""))</f>
        <v/>
      </c>
      <c r="B24" s="39">
        <f>IF($J24="","",INDEX(Tarifa!$A$13:$A$512,$J24)&amp;"")</f>
        <v/>
      </c>
      <c r="C24" s="39">
        <f>IF($J24="","",INDEX(Tarifa!$B$13:$B$512,$J24)&amp;"")</f>
        <v/>
      </c>
      <c r="D24" s="39">
        <f>IF($J24="","",INDEX(Tarifa!$C$13:$C$512,$J24)&amp;"")</f>
        <v/>
      </c>
      <c r="E24" s="40">
        <f>IF($J24="","",IF(INDEX(Tarifa!$D$13:$D$512,$J24)="","",INDEX(Tarifa!$D$13:$D$512,$J24)))</f>
        <v/>
      </c>
      <c r="F24" s="41">
        <f>IF(OR($J24="",$J$1=""),"",IF(INDEX(Tarifa!$G$13:$G$512,$J24)="","",IF(NOT(ISNUMBER(INDEX(Tarifa!$G$13:$G$512,$J24))),"Revisa",IF($J$1=1,INDEX(Tarifa!$G$13:$G$512,$J24),ROUND(ROUND(INDEX(Tarifa!$G$13:$G$512,$J24)*(1+$J$2/100)/$J$3,0)*$J$3,2)))))</f>
        <v/>
      </c>
      <c r="G24" s="42">
        <f>IF(OR(NOT(ISNUMBER(F24)),N(E24)&lt;=1),"",ROUND(F24/E24,3))</f>
        <v/>
      </c>
      <c r="H24" s="43">
        <f>IF($J24="","",IF(INDEX(Tarifa!$H$13:$H$512,$J24)="","",INDEX(Tarifa!$H$13:$H$512,$J24)))</f>
        <v/>
      </c>
      <c r="I24" s="41">
        <f>IF(OR($M$3="No",$M$3="",NOT(ISNUMBER(F24))),"",IF(NOT(ISNUMBER(H24)),"Falta IVA",ROUND(F24*(1+(H24+IF($M$3="Con IVA y recargo",IF(H24=21,5.2,IF(H24=10,1.4,IF(H24=4,0.5,0))),0))/100),2)))</f>
        <v/>
      </c>
      <c r="J24">
        <f>IFERROR(MATCH(14,Tarifa!$O$13:$O$512,0),"")</f>
        <v/>
      </c>
    </row>
    <row r="25" ht="17" customHeight="1">
      <c r="A25" s="38">
        <f>IF($J25="","",IFERROR(IF(INDEX(Tarifa!$E$13:$E$512,$J25)&amp;""=INDEX(Tarifa!$E$13:$E$512,$J24)&amp;"","",INDEX(Tarifa!$E$13:$E$512,$J25)&amp;""),""))</f>
        <v/>
      </c>
      <c r="B25" s="39">
        <f>IF($J25="","",INDEX(Tarifa!$A$13:$A$512,$J25)&amp;"")</f>
        <v/>
      </c>
      <c r="C25" s="39">
        <f>IF($J25="","",INDEX(Tarifa!$B$13:$B$512,$J25)&amp;"")</f>
        <v/>
      </c>
      <c r="D25" s="39">
        <f>IF($J25="","",INDEX(Tarifa!$C$13:$C$512,$J25)&amp;"")</f>
        <v/>
      </c>
      <c r="E25" s="40">
        <f>IF($J25="","",IF(INDEX(Tarifa!$D$13:$D$512,$J25)="","",INDEX(Tarifa!$D$13:$D$512,$J25)))</f>
        <v/>
      </c>
      <c r="F25" s="41">
        <f>IF(OR($J25="",$J$1=""),"",IF(INDEX(Tarifa!$G$13:$G$512,$J25)="","",IF(NOT(ISNUMBER(INDEX(Tarifa!$G$13:$G$512,$J25))),"Revisa",IF($J$1=1,INDEX(Tarifa!$G$13:$G$512,$J25),ROUND(ROUND(INDEX(Tarifa!$G$13:$G$512,$J25)*(1+$J$2/100)/$J$3,0)*$J$3,2)))))</f>
        <v/>
      </c>
      <c r="G25" s="42">
        <f>IF(OR(NOT(ISNUMBER(F25)),N(E25)&lt;=1),"",ROUND(F25/E25,3))</f>
        <v/>
      </c>
      <c r="H25" s="43">
        <f>IF($J25="","",IF(INDEX(Tarifa!$H$13:$H$512,$J25)="","",INDEX(Tarifa!$H$13:$H$512,$J25)))</f>
        <v/>
      </c>
      <c r="I25" s="41">
        <f>IF(OR($M$3="No",$M$3="",NOT(ISNUMBER(F25))),"",IF(NOT(ISNUMBER(H25)),"Falta IVA",ROUND(F25*(1+(H25+IF($M$3="Con IVA y recargo",IF(H25=21,5.2,IF(H25=10,1.4,IF(H25=4,0.5,0))),0))/100),2)))</f>
        <v/>
      </c>
      <c r="J25">
        <f>IFERROR(MATCH(15,Tarifa!$O$13:$O$512,0),"")</f>
        <v/>
      </c>
    </row>
    <row r="26" ht="17" customHeight="1">
      <c r="A26" s="38">
        <f>IF($J26="","",IFERROR(IF(INDEX(Tarifa!$E$13:$E$512,$J26)&amp;""=INDEX(Tarifa!$E$13:$E$512,$J25)&amp;"","",INDEX(Tarifa!$E$13:$E$512,$J26)&amp;""),""))</f>
        <v/>
      </c>
      <c r="B26" s="39">
        <f>IF($J26="","",INDEX(Tarifa!$A$13:$A$512,$J26)&amp;"")</f>
        <v/>
      </c>
      <c r="C26" s="39">
        <f>IF($J26="","",INDEX(Tarifa!$B$13:$B$512,$J26)&amp;"")</f>
        <v/>
      </c>
      <c r="D26" s="39">
        <f>IF($J26="","",INDEX(Tarifa!$C$13:$C$512,$J26)&amp;"")</f>
        <v/>
      </c>
      <c r="E26" s="40">
        <f>IF($J26="","",IF(INDEX(Tarifa!$D$13:$D$512,$J26)="","",INDEX(Tarifa!$D$13:$D$512,$J26)))</f>
        <v/>
      </c>
      <c r="F26" s="41">
        <f>IF(OR($J26="",$J$1=""),"",IF(INDEX(Tarifa!$G$13:$G$512,$J26)="","",IF(NOT(ISNUMBER(INDEX(Tarifa!$G$13:$G$512,$J26))),"Revisa",IF($J$1=1,INDEX(Tarifa!$G$13:$G$512,$J26),ROUND(ROUND(INDEX(Tarifa!$G$13:$G$512,$J26)*(1+$J$2/100)/$J$3,0)*$J$3,2)))))</f>
        <v/>
      </c>
      <c r="G26" s="42">
        <f>IF(OR(NOT(ISNUMBER(F26)),N(E26)&lt;=1),"",ROUND(F26/E26,3))</f>
        <v/>
      </c>
      <c r="H26" s="43">
        <f>IF($J26="","",IF(INDEX(Tarifa!$H$13:$H$512,$J26)="","",INDEX(Tarifa!$H$13:$H$512,$J26)))</f>
        <v/>
      </c>
      <c r="I26" s="41">
        <f>IF(OR($M$3="No",$M$3="",NOT(ISNUMBER(F26))),"",IF(NOT(ISNUMBER(H26)),"Falta IVA",ROUND(F26*(1+(H26+IF($M$3="Con IVA y recargo",IF(H26=21,5.2,IF(H26=10,1.4,IF(H26=4,0.5,0))),0))/100),2)))</f>
        <v/>
      </c>
      <c r="J26">
        <f>IFERROR(MATCH(16,Tarifa!$O$13:$O$512,0),"")</f>
        <v/>
      </c>
    </row>
    <row r="27" ht="17" customHeight="1">
      <c r="A27" s="38">
        <f>IF($J27="","",IFERROR(IF(INDEX(Tarifa!$E$13:$E$512,$J27)&amp;""=INDEX(Tarifa!$E$13:$E$512,$J26)&amp;"","",INDEX(Tarifa!$E$13:$E$512,$J27)&amp;""),""))</f>
        <v/>
      </c>
      <c r="B27" s="39">
        <f>IF($J27="","",INDEX(Tarifa!$A$13:$A$512,$J27)&amp;"")</f>
        <v/>
      </c>
      <c r="C27" s="39">
        <f>IF($J27="","",INDEX(Tarifa!$B$13:$B$512,$J27)&amp;"")</f>
        <v/>
      </c>
      <c r="D27" s="39">
        <f>IF($J27="","",INDEX(Tarifa!$C$13:$C$512,$J27)&amp;"")</f>
        <v/>
      </c>
      <c r="E27" s="40">
        <f>IF($J27="","",IF(INDEX(Tarifa!$D$13:$D$512,$J27)="","",INDEX(Tarifa!$D$13:$D$512,$J27)))</f>
        <v/>
      </c>
      <c r="F27" s="41">
        <f>IF(OR($J27="",$J$1=""),"",IF(INDEX(Tarifa!$G$13:$G$512,$J27)="","",IF(NOT(ISNUMBER(INDEX(Tarifa!$G$13:$G$512,$J27))),"Revisa",IF($J$1=1,INDEX(Tarifa!$G$13:$G$512,$J27),ROUND(ROUND(INDEX(Tarifa!$G$13:$G$512,$J27)*(1+$J$2/100)/$J$3,0)*$J$3,2)))))</f>
        <v/>
      </c>
      <c r="G27" s="42">
        <f>IF(OR(NOT(ISNUMBER(F27)),N(E27)&lt;=1),"",ROUND(F27/E27,3))</f>
        <v/>
      </c>
      <c r="H27" s="43">
        <f>IF($J27="","",IF(INDEX(Tarifa!$H$13:$H$512,$J27)="","",INDEX(Tarifa!$H$13:$H$512,$J27)))</f>
        <v/>
      </c>
      <c r="I27" s="41">
        <f>IF(OR($M$3="No",$M$3="",NOT(ISNUMBER(F27))),"",IF(NOT(ISNUMBER(H27)),"Falta IVA",ROUND(F27*(1+(H27+IF($M$3="Con IVA y recargo",IF(H27=21,5.2,IF(H27=10,1.4,IF(H27=4,0.5,0))),0))/100),2)))</f>
        <v/>
      </c>
      <c r="J27">
        <f>IFERROR(MATCH(17,Tarifa!$O$13:$O$512,0),"")</f>
        <v/>
      </c>
    </row>
    <row r="28" ht="17" customHeight="1">
      <c r="A28" s="38">
        <f>IF($J28="","",IFERROR(IF(INDEX(Tarifa!$E$13:$E$512,$J28)&amp;""=INDEX(Tarifa!$E$13:$E$512,$J27)&amp;"","",INDEX(Tarifa!$E$13:$E$512,$J28)&amp;""),""))</f>
        <v/>
      </c>
      <c r="B28" s="39">
        <f>IF($J28="","",INDEX(Tarifa!$A$13:$A$512,$J28)&amp;"")</f>
        <v/>
      </c>
      <c r="C28" s="39">
        <f>IF($J28="","",INDEX(Tarifa!$B$13:$B$512,$J28)&amp;"")</f>
        <v/>
      </c>
      <c r="D28" s="39">
        <f>IF($J28="","",INDEX(Tarifa!$C$13:$C$512,$J28)&amp;"")</f>
        <v/>
      </c>
      <c r="E28" s="40">
        <f>IF($J28="","",IF(INDEX(Tarifa!$D$13:$D$512,$J28)="","",INDEX(Tarifa!$D$13:$D$512,$J28)))</f>
        <v/>
      </c>
      <c r="F28" s="41">
        <f>IF(OR($J28="",$J$1=""),"",IF(INDEX(Tarifa!$G$13:$G$512,$J28)="","",IF(NOT(ISNUMBER(INDEX(Tarifa!$G$13:$G$512,$J28))),"Revisa",IF($J$1=1,INDEX(Tarifa!$G$13:$G$512,$J28),ROUND(ROUND(INDEX(Tarifa!$G$13:$G$512,$J28)*(1+$J$2/100)/$J$3,0)*$J$3,2)))))</f>
        <v/>
      </c>
      <c r="G28" s="42">
        <f>IF(OR(NOT(ISNUMBER(F28)),N(E28)&lt;=1),"",ROUND(F28/E28,3))</f>
        <v/>
      </c>
      <c r="H28" s="43">
        <f>IF($J28="","",IF(INDEX(Tarifa!$H$13:$H$512,$J28)="","",INDEX(Tarifa!$H$13:$H$512,$J28)))</f>
        <v/>
      </c>
      <c r="I28" s="41">
        <f>IF(OR($M$3="No",$M$3="",NOT(ISNUMBER(F28))),"",IF(NOT(ISNUMBER(H28)),"Falta IVA",ROUND(F28*(1+(H28+IF($M$3="Con IVA y recargo",IF(H28=21,5.2,IF(H28=10,1.4,IF(H28=4,0.5,0))),0))/100),2)))</f>
        <v/>
      </c>
      <c r="J28">
        <f>IFERROR(MATCH(18,Tarifa!$O$13:$O$512,0),"")</f>
        <v/>
      </c>
    </row>
    <row r="29" ht="17" customHeight="1">
      <c r="A29" s="38">
        <f>IF($J29="","",IFERROR(IF(INDEX(Tarifa!$E$13:$E$512,$J29)&amp;""=INDEX(Tarifa!$E$13:$E$512,$J28)&amp;"","",INDEX(Tarifa!$E$13:$E$512,$J29)&amp;""),""))</f>
        <v/>
      </c>
      <c r="B29" s="39">
        <f>IF($J29="","",INDEX(Tarifa!$A$13:$A$512,$J29)&amp;"")</f>
        <v/>
      </c>
      <c r="C29" s="39">
        <f>IF($J29="","",INDEX(Tarifa!$B$13:$B$512,$J29)&amp;"")</f>
        <v/>
      </c>
      <c r="D29" s="39">
        <f>IF($J29="","",INDEX(Tarifa!$C$13:$C$512,$J29)&amp;"")</f>
        <v/>
      </c>
      <c r="E29" s="40">
        <f>IF($J29="","",IF(INDEX(Tarifa!$D$13:$D$512,$J29)="","",INDEX(Tarifa!$D$13:$D$512,$J29)))</f>
        <v/>
      </c>
      <c r="F29" s="41">
        <f>IF(OR($J29="",$J$1=""),"",IF(INDEX(Tarifa!$G$13:$G$512,$J29)="","",IF(NOT(ISNUMBER(INDEX(Tarifa!$G$13:$G$512,$J29))),"Revisa",IF($J$1=1,INDEX(Tarifa!$G$13:$G$512,$J29),ROUND(ROUND(INDEX(Tarifa!$G$13:$G$512,$J29)*(1+$J$2/100)/$J$3,0)*$J$3,2)))))</f>
        <v/>
      </c>
      <c r="G29" s="42">
        <f>IF(OR(NOT(ISNUMBER(F29)),N(E29)&lt;=1),"",ROUND(F29/E29,3))</f>
        <v/>
      </c>
      <c r="H29" s="43">
        <f>IF($J29="","",IF(INDEX(Tarifa!$H$13:$H$512,$J29)="","",INDEX(Tarifa!$H$13:$H$512,$J29)))</f>
        <v/>
      </c>
      <c r="I29" s="41">
        <f>IF(OR($M$3="No",$M$3="",NOT(ISNUMBER(F29))),"",IF(NOT(ISNUMBER(H29)),"Falta IVA",ROUND(F29*(1+(H29+IF($M$3="Con IVA y recargo",IF(H29=21,5.2,IF(H29=10,1.4,IF(H29=4,0.5,0))),0))/100),2)))</f>
        <v/>
      </c>
      <c r="J29">
        <f>IFERROR(MATCH(19,Tarifa!$O$13:$O$512,0),"")</f>
        <v/>
      </c>
    </row>
    <row r="30" ht="17" customHeight="1">
      <c r="A30" s="38">
        <f>IF($J30="","",IFERROR(IF(INDEX(Tarifa!$E$13:$E$512,$J30)&amp;""=INDEX(Tarifa!$E$13:$E$512,$J29)&amp;"","",INDEX(Tarifa!$E$13:$E$512,$J30)&amp;""),""))</f>
        <v/>
      </c>
      <c r="B30" s="39">
        <f>IF($J30="","",INDEX(Tarifa!$A$13:$A$512,$J30)&amp;"")</f>
        <v/>
      </c>
      <c r="C30" s="39">
        <f>IF($J30="","",INDEX(Tarifa!$B$13:$B$512,$J30)&amp;"")</f>
        <v/>
      </c>
      <c r="D30" s="39">
        <f>IF($J30="","",INDEX(Tarifa!$C$13:$C$512,$J30)&amp;"")</f>
        <v/>
      </c>
      <c r="E30" s="40">
        <f>IF($J30="","",IF(INDEX(Tarifa!$D$13:$D$512,$J30)="","",INDEX(Tarifa!$D$13:$D$512,$J30)))</f>
        <v/>
      </c>
      <c r="F30" s="41">
        <f>IF(OR($J30="",$J$1=""),"",IF(INDEX(Tarifa!$G$13:$G$512,$J30)="","",IF(NOT(ISNUMBER(INDEX(Tarifa!$G$13:$G$512,$J30))),"Revisa",IF($J$1=1,INDEX(Tarifa!$G$13:$G$512,$J30),ROUND(ROUND(INDEX(Tarifa!$G$13:$G$512,$J30)*(1+$J$2/100)/$J$3,0)*$J$3,2)))))</f>
        <v/>
      </c>
      <c r="G30" s="42">
        <f>IF(OR(NOT(ISNUMBER(F30)),N(E30)&lt;=1),"",ROUND(F30/E30,3))</f>
        <v/>
      </c>
      <c r="H30" s="43">
        <f>IF($J30="","",IF(INDEX(Tarifa!$H$13:$H$512,$J30)="","",INDEX(Tarifa!$H$13:$H$512,$J30)))</f>
        <v/>
      </c>
      <c r="I30" s="41">
        <f>IF(OR($M$3="No",$M$3="",NOT(ISNUMBER(F30))),"",IF(NOT(ISNUMBER(H30)),"Falta IVA",ROUND(F30*(1+(H30+IF($M$3="Con IVA y recargo",IF(H30=21,5.2,IF(H30=10,1.4,IF(H30=4,0.5,0))),0))/100),2)))</f>
        <v/>
      </c>
      <c r="J30">
        <f>IFERROR(MATCH(20,Tarifa!$O$13:$O$512,0),"")</f>
        <v/>
      </c>
    </row>
    <row r="31" ht="17" customHeight="1">
      <c r="A31" s="38">
        <f>IF($J31="","",IFERROR(IF(INDEX(Tarifa!$E$13:$E$512,$J31)&amp;""=INDEX(Tarifa!$E$13:$E$512,$J30)&amp;"","",INDEX(Tarifa!$E$13:$E$512,$J31)&amp;""),""))</f>
        <v/>
      </c>
      <c r="B31" s="39">
        <f>IF($J31="","",INDEX(Tarifa!$A$13:$A$512,$J31)&amp;"")</f>
        <v/>
      </c>
      <c r="C31" s="39">
        <f>IF($J31="","",INDEX(Tarifa!$B$13:$B$512,$J31)&amp;"")</f>
        <v/>
      </c>
      <c r="D31" s="39">
        <f>IF($J31="","",INDEX(Tarifa!$C$13:$C$512,$J31)&amp;"")</f>
        <v/>
      </c>
      <c r="E31" s="40">
        <f>IF($J31="","",IF(INDEX(Tarifa!$D$13:$D$512,$J31)="","",INDEX(Tarifa!$D$13:$D$512,$J31)))</f>
        <v/>
      </c>
      <c r="F31" s="41">
        <f>IF(OR($J31="",$J$1=""),"",IF(INDEX(Tarifa!$G$13:$G$512,$J31)="","",IF(NOT(ISNUMBER(INDEX(Tarifa!$G$13:$G$512,$J31))),"Revisa",IF($J$1=1,INDEX(Tarifa!$G$13:$G$512,$J31),ROUND(ROUND(INDEX(Tarifa!$G$13:$G$512,$J31)*(1+$J$2/100)/$J$3,0)*$J$3,2)))))</f>
        <v/>
      </c>
      <c r="G31" s="42">
        <f>IF(OR(NOT(ISNUMBER(F31)),N(E31)&lt;=1),"",ROUND(F31/E31,3))</f>
        <v/>
      </c>
      <c r="H31" s="43">
        <f>IF($J31="","",IF(INDEX(Tarifa!$H$13:$H$512,$J31)="","",INDEX(Tarifa!$H$13:$H$512,$J31)))</f>
        <v/>
      </c>
      <c r="I31" s="41">
        <f>IF(OR($M$3="No",$M$3="",NOT(ISNUMBER(F31))),"",IF(NOT(ISNUMBER(H31)),"Falta IVA",ROUND(F31*(1+(H31+IF($M$3="Con IVA y recargo",IF(H31=21,5.2,IF(H31=10,1.4,IF(H31=4,0.5,0))),0))/100),2)))</f>
        <v/>
      </c>
      <c r="J31">
        <f>IFERROR(MATCH(21,Tarifa!$O$13:$O$512,0),"")</f>
        <v/>
      </c>
    </row>
    <row r="32" ht="17" customHeight="1">
      <c r="A32" s="38">
        <f>IF($J32="","",IFERROR(IF(INDEX(Tarifa!$E$13:$E$512,$J32)&amp;""=INDEX(Tarifa!$E$13:$E$512,$J31)&amp;"","",INDEX(Tarifa!$E$13:$E$512,$J32)&amp;""),""))</f>
        <v/>
      </c>
      <c r="B32" s="39">
        <f>IF($J32="","",INDEX(Tarifa!$A$13:$A$512,$J32)&amp;"")</f>
        <v/>
      </c>
      <c r="C32" s="39">
        <f>IF($J32="","",INDEX(Tarifa!$B$13:$B$512,$J32)&amp;"")</f>
        <v/>
      </c>
      <c r="D32" s="39">
        <f>IF($J32="","",INDEX(Tarifa!$C$13:$C$512,$J32)&amp;"")</f>
        <v/>
      </c>
      <c r="E32" s="40">
        <f>IF($J32="","",IF(INDEX(Tarifa!$D$13:$D$512,$J32)="","",INDEX(Tarifa!$D$13:$D$512,$J32)))</f>
        <v/>
      </c>
      <c r="F32" s="41">
        <f>IF(OR($J32="",$J$1=""),"",IF(INDEX(Tarifa!$G$13:$G$512,$J32)="","",IF(NOT(ISNUMBER(INDEX(Tarifa!$G$13:$G$512,$J32))),"Revisa",IF($J$1=1,INDEX(Tarifa!$G$13:$G$512,$J32),ROUND(ROUND(INDEX(Tarifa!$G$13:$G$512,$J32)*(1+$J$2/100)/$J$3,0)*$J$3,2)))))</f>
        <v/>
      </c>
      <c r="G32" s="42">
        <f>IF(OR(NOT(ISNUMBER(F32)),N(E32)&lt;=1),"",ROUND(F32/E32,3))</f>
        <v/>
      </c>
      <c r="H32" s="43">
        <f>IF($J32="","",IF(INDEX(Tarifa!$H$13:$H$512,$J32)="","",INDEX(Tarifa!$H$13:$H$512,$J32)))</f>
        <v/>
      </c>
      <c r="I32" s="41">
        <f>IF(OR($M$3="No",$M$3="",NOT(ISNUMBER(F32))),"",IF(NOT(ISNUMBER(H32)),"Falta IVA",ROUND(F32*(1+(H32+IF($M$3="Con IVA y recargo",IF(H32=21,5.2,IF(H32=10,1.4,IF(H32=4,0.5,0))),0))/100),2)))</f>
        <v/>
      </c>
      <c r="J32">
        <f>IFERROR(MATCH(22,Tarifa!$O$13:$O$512,0),"")</f>
        <v/>
      </c>
    </row>
    <row r="33" ht="17" customHeight="1">
      <c r="A33" s="38">
        <f>IF($J33="","",IFERROR(IF(INDEX(Tarifa!$E$13:$E$512,$J33)&amp;""=INDEX(Tarifa!$E$13:$E$512,$J32)&amp;"","",INDEX(Tarifa!$E$13:$E$512,$J33)&amp;""),""))</f>
        <v/>
      </c>
      <c r="B33" s="39">
        <f>IF($J33="","",INDEX(Tarifa!$A$13:$A$512,$J33)&amp;"")</f>
        <v/>
      </c>
      <c r="C33" s="39">
        <f>IF($J33="","",INDEX(Tarifa!$B$13:$B$512,$J33)&amp;"")</f>
        <v/>
      </c>
      <c r="D33" s="39">
        <f>IF($J33="","",INDEX(Tarifa!$C$13:$C$512,$J33)&amp;"")</f>
        <v/>
      </c>
      <c r="E33" s="40">
        <f>IF($J33="","",IF(INDEX(Tarifa!$D$13:$D$512,$J33)="","",INDEX(Tarifa!$D$13:$D$512,$J33)))</f>
        <v/>
      </c>
      <c r="F33" s="41">
        <f>IF(OR($J33="",$J$1=""),"",IF(INDEX(Tarifa!$G$13:$G$512,$J33)="","",IF(NOT(ISNUMBER(INDEX(Tarifa!$G$13:$G$512,$J33))),"Revisa",IF($J$1=1,INDEX(Tarifa!$G$13:$G$512,$J33),ROUND(ROUND(INDEX(Tarifa!$G$13:$G$512,$J33)*(1+$J$2/100)/$J$3,0)*$J$3,2)))))</f>
        <v/>
      </c>
      <c r="G33" s="42">
        <f>IF(OR(NOT(ISNUMBER(F33)),N(E33)&lt;=1),"",ROUND(F33/E33,3))</f>
        <v/>
      </c>
      <c r="H33" s="43">
        <f>IF($J33="","",IF(INDEX(Tarifa!$H$13:$H$512,$J33)="","",INDEX(Tarifa!$H$13:$H$512,$J33)))</f>
        <v/>
      </c>
      <c r="I33" s="41">
        <f>IF(OR($M$3="No",$M$3="",NOT(ISNUMBER(F33))),"",IF(NOT(ISNUMBER(H33)),"Falta IVA",ROUND(F33*(1+(H33+IF($M$3="Con IVA y recargo",IF(H33=21,5.2,IF(H33=10,1.4,IF(H33=4,0.5,0))),0))/100),2)))</f>
        <v/>
      </c>
      <c r="J33">
        <f>IFERROR(MATCH(23,Tarifa!$O$13:$O$512,0),"")</f>
        <v/>
      </c>
    </row>
    <row r="34" ht="17" customHeight="1">
      <c r="A34" s="38">
        <f>IF($J34="","",IFERROR(IF(INDEX(Tarifa!$E$13:$E$512,$J34)&amp;""=INDEX(Tarifa!$E$13:$E$512,$J33)&amp;"","",INDEX(Tarifa!$E$13:$E$512,$J34)&amp;""),""))</f>
        <v/>
      </c>
      <c r="B34" s="39">
        <f>IF($J34="","",INDEX(Tarifa!$A$13:$A$512,$J34)&amp;"")</f>
        <v/>
      </c>
      <c r="C34" s="39">
        <f>IF($J34="","",INDEX(Tarifa!$B$13:$B$512,$J34)&amp;"")</f>
        <v/>
      </c>
      <c r="D34" s="39">
        <f>IF($J34="","",INDEX(Tarifa!$C$13:$C$512,$J34)&amp;"")</f>
        <v/>
      </c>
      <c r="E34" s="40">
        <f>IF($J34="","",IF(INDEX(Tarifa!$D$13:$D$512,$J34)="","",INDEX(Tarifa!$D$13:$D$512,$J34)))</f>
        <v/>
      </c>
      <c r="F34" s="41">
        <f>IF(OR($J34="",$J$1=""),"",IF(INDEX(Tarifa!$G$13:$G$512,$J34)="","",IF(NOT(ISNUMBER(INDEX(Tarifa!$G$13:$G$512,$J34))),"Revisa",IF($J$1=1,INDEX(Tarifa!$G$13:$G$512,$J34),ROUND(ROUND(INDEX(Tarifa!$G$13:$G$512,$J34)*(1+$J$2/100)/$J$3,0)*$J$3,2)))))</f>
        <v/>
      </c>
      <c r="G34" s="42">
        <f>IF(OR(NOT(ISNUMBER(F34)),N(E34)&lt;=1),"",ROUND(F34/E34,3))</f>
        <v/>
      </c>
      <c r="H34" s="43">
        <f>IF($J34="","",IF(INDEX(Tarifa!$H$13:$H$512,$J34)="","",INDEX(Tarifa!$H$13:$H$512,$J34)))</f>
        <v/>
      </c>
      <c r="I34" s="41">
        <f>IF(OR($M$3="No",$M$3="",NOT(ISNUMBER(F34))),"",IF(NOT(ISNUMBER(H34)),"Falta IVA",ROUND(F34*(1+(H34+IF($M$3="Con IVA y recargo",IF(H34=21,5.2,IF(H34=10,1.4,IF(H34=4,0.5,0))),0))/100),2)))</f>
        <v/>
      </c>
      <c r="J34">
        <f>IFERROR(MATCH(24,Tarifa!$O$13:$O$512,0),"")</f>
        <v/>
      </c>
    </row>
    <row r="35" ht="17" customHeight="1">
      <c r="A35" s="38">
        <f>IF($J35="","",IFERROR(IF(INDEX(Tarifa!$E$13:$E$512,$J35)&amp;""=INDEX(Tarifa!$E$13:$E$512,$J34)&amp;"","",INDEX(Tarifa!$E$13:$E$512,$J35)&amp;""),""))</f>
        <v/>
      </c>
      <c r="B35" s="39">
        <f>IF($J35="","",INDEX(Tarifa!$A$13:$A$512,$J35)&amp;"")</f>
        <v/>
      </c>
      <c r="C35" s="39">
        <f>IF($J35="","",INDEX(Tarifa!$B$13:$B$512,$J35)&amp;"")</f>
        <v/>
      </c>
      <c r="D35" s="39">
        <f>IF($J35="","",INDEX(Tarifa!$C$13:$C$512,$J35)&amp;"")</f>
        <v/>
      </c>
      <c r="E35" s="40">
        <f>IF($J35="","",IF(INDEX(Tarifa!$D$13:$D$512,$J35)="","",INDEX(Tarifa!$D$13:$D$512,$J35)))</f>
        <v/>
      </c>
      <c r="F35" s="41">
        <f>IF(OR($J35="",$J$1=""),"",IF(INDEX(Tarifa!$G$13:$G$512,$J35)="","",IF(NOT(ISNUMBER(INDEX(Tarifa!$G$13:$G$512,$J35))),"Revisa",IF($J$1=1,INDEX(Tarifa!$G$13:$G$512,$J35),ROUND(ROUND(INDEX(Tarifa!$G$13:$G$512,$J35)*(1+$J$2/100)/$J$3,0)*$J$3,2)))))</f>
        <v/>
      </c>
      <c r="G35" s="42">
        <f>IF(OR(NOT(ISNUMBER(F35)),N(E35)&lt;=1),"",ROUND(F35/E35,3))</f>
        <v/>
      </c>
      <c r="H35" s="43">
        <f>IF($J35="","",IF(INDEX(Tarifa!$H$13:$H$512,$J35)="","",INDEX(Tarifa!$H$13:$H$512,$J35)))</f>
        <v/>
      </c>
      <c r="I35" s="41">
        <f>IF(OR($M$3="No",$M$3="",NOT(ISNUMBER(F35))),"",IF(NOT(ISNUMBER(H35)),"Falta IVA",ROUND(F35*(1+(H35+IF($M$3="Con IVA y recargo",IF(H35=21,5.2,IF(H35=10,1.4,IF(H35=4,0.5,0))),0))/100),2)))</f>
        <v/>
      </c>
      <c r="J35">
        <f>IFERROR(MATCH(25,Tarifa!$O$13:$O$512,0),"")</f>
        <v/>
      </c>
    </row>
    <row r="36" ht="17" customHeight="1">
      <c r="A36" s="38">
        <f>IF($J36="","",IFERROR(IF(INDEX(Tarifa!$E$13:$E$512,$J36)&amp;""=INDEX(Tarifa!$E$13:$E$512,$J35)&amp;"","",INDEX(Tarifa!$E$13:$E$512,$J36)&amp;""),""))</f>
        <v/>
      </c>
      <c r="B36" s="39">
        <f>IF($J36="","",INDEX(Tarifa!$A$13:$A$512,$J36)&amp;"")</f>
        <v/>
      </c>
      <c r="C36" s="39">
        <f>IF($J36="","",INDEX(Tarifa!$B$13:$B$512,$J36)&amp;"")</f>
        <v/>
      </c>
      <c r="D36" s="39">
        <f>IF($J36="","",INDEX(Tarifa!$C$13:$C$512,$J36)&amp;"")</f>
        <v/>
      </c>
      <c r="E36" s="40">
        <f>IF($J36="","",IF(INDEX(Tarifa!$D$13:$D$512,$J36)="","",INDEX(Tarifa!$D$13:$D$512,$J36)))</f>
        <v/>
      </c>
      <c r="F36" s="41">
        <f>IF(OR($J36="",$J$1=""),"",IF(INDEX(Tarifa!$G$13:$G$512,$J36)="","",IF(NOT(ISNUMBER(INDEX(Tarifa!$G$13:$G$512,$J36))),"Revisa",IF($J$1=1,INDEX(Tarifa!$G$13:$G$512,$J36),ROUND(ROUND(INDEX(Tarifa!$G$13:$G$512,$J36)*(1+$J$2/100)/$J$3,0)*$J$3,2)))))</f>
        <v/>
      </c>
      <c r="G36" s="42">
        <f>IF(OR(NOT(ISNUMBER(F36)),N(E36)&lt;=1),"",ROUND(F36/E36,3))</f>
        <v/>
      </c>
      <c r="H36" s="43">
        <f>IF($J36="","",IF(INDEX(Tarifa!$H$13:$H$512,$J36)="","",INDEX(Tarifa!$H$13:$H$512,$J36)))</f>
        <v/>
      </c>
      <c r="I36" s="41">
        <f>IF(OR($M$3="No",$M$3="",NOT(ISNUMBER(F36))),"",IF(NOT(ISNUMBER(H36)),"Falta IVA",ROUND(F36*(1+(H36+IF($M$3="Con IVA y recargo",IF(H36=21,5.2,IF(H36=10,1.4,IF(H36=4,0.5,0))),0))/100),2)))</f>
        <v/>
      </c>
      <c r="J36">
        <f>IFERROR(MATCH(26,Tarifa!$O$13:$O$512,0),"")</f>
        <v/>
      </c>
    </row>
    <row r="37" ht="17" customHeight="1">
      <c r="A37" s="38">
        <f>IF($J37="","",IFERROR(IF(INDEX(Tarifa!$E$13:$E$512,$J37)&amp;""=INDEX(Tarifa!$E$13:$E$512,$J36)&amp;"","",INDEX(Tarifa!$E$13:$E$512,$J37)&amp;""),""))</f>
        <v/>
      </c>
      <c r="B37" s="39">
        <f>IF($J37="","",INDEX(Tarifa!$A$13:$A$512,$J37)&amp;"")</f>
        <v/>
      </c>
      <c r="C37" s="39">
        <f>IF($J37="","",INDEX(Tarifa!$B$13:$B$512,$J37)&amp;"")</f>
        <v/>
      </c>
      <c r="D37" s="39">
        <f>IF($J37="","",INDEX(Tarifa!$C$13:$C$512,$J37)&amp;"")</f>
        <v/>
      </c>
      <c r="E37" s="40">
        <f>IF($J37="","",IF(INDEX(Tarifa!$D$13:$D$512,$J37)="","",INDEX(Tarifa!$D$13:$D$512,$J37)))</f>
        <v/>
      </c>
      <c r="F37" s="41">
        <f>IF(OR($J37="",$J$1=""),"",IF(INDEX(Tarifa!$G$13:$G$512,$J37)="","",IF(NOT(ISNUMBER(INDEX(Tarifa!$G$13:$G$512,$J37))),"Revisa",IF($J$1=1,INDEX(Tarifa!$G$13:$G$512,$J37),ROUND(ROUND(INDEX(Tarifa!$G$13:$G$512,$J37)*(1+$J$2/100)/$J$3,0)*$J$3,2)))))</f>
        <v/>
      </c>
      <c r="G37" s="42">
        <f>IF(OR(NOT(ISNUMBER(F37)),N(E37)&lt;=1),"",ROUND(F37/E37,3))</f>
        <v/>
      </c>
      <c r="H37" s="43">
        <f>IF($J37="","",IF(INDEX(Tarifa!$H$13:$H$512,$J37)="","",INDEX(Tarifa!$H$13:$H$512,$J37)))</f>
        <v/>
      </c>
      <c r="I37" s="41">
        <f>IF(OR($M$3="No",$M$3="",NOT(ISNUMBER(F37))),"",IF(NOT(ISNUMBER(H37)),"Falta IVA",ROUND(F37*(1+(H37+IF($M$3="Con IVA y recargo",IF(H37=21,5.2,IF(H37=10,1.4,IF(H37=4,0.5,0))),0))/100),2)))</f>
        <v/>
      </c>
      <c r="J37">
        <f>IFERROR(MATCH(27,Tarifa!$O$13:$O$512,0),"")</f>
        <v/>
      </c>
    </row>
    <row r="38" ht="17" customHeight="1">
      <c r="A38" s="38">
        <f>IF($J38="","",IFERROR(IF(INDEX(Tarifa!$E$13:$E$512,$J38)&amp;""=INDEX(Tarifa!$E$13:$E$512,$J37)&amp;"","",INDEX(Tarifa!$E$13:$E$512,$J38)&amp;""),""))</f>
        <v/>
      </c>
      <c r="B38" s="39">
        <f>IF($J38="","",INDEX(Tarifa!$A$13:$A$512,$J38)&amp;"")</f>
        <v/>
      </c>
      <c r="C38" s="39">
        <f>IF($J38="","",INDEX(Tarifa!$B$13:$B$512,$J38)&amp;"")</f>
        <v/>
      </c>
      <c r="D38" s="39">
        <f>IF($J38="","",INDEX(Tarifa!$C$13:$C$512,$J38)&amp;"")</f>
        <v/>
      </c>
      <c r="E38" s="40">
        <f>IF($J38="","",IF(INDEX(Tarifa!$D$13:$D$512,$J38)="","",INDEX(Tarifa!$D$13:$D$512,$J38)))</f>
        <v/>
      </c>
      <c r="F38" s="41">
        <f>IF(OR($J38="",$J$1=""),"",IF(INDEX(Tarifa!$G$13:$G$512,$J38)="","",IF(NOT(ISNUMBER(INDEX(Tarifa!$G$13:$G$512,$J38))),"Revisa",IF($J$1=1,INDEX(Tarifa!$G$13:$G$512,$J38),ROUND(ROUND(INDEX(Tarifa!$G$13:$G$512,$J38)*(1+$J$2/100)/$J$3,0)*$J$3,2)))))</f>
        <v/>
      </c>
      <c r="G38" s="42">
        <f>IF(OR(NOT(ISNUMBER(F38)),N(E38)&lt;=1),"",ROUND(F38/E38,3))</f>
        <v/>
      </c>
      <c r="H38" s="43">
        <f>IF($J38="","",IF(INDEX(Tarifa!$H$13:$H$512,$J38)="","",INDEX(Tarifa!$H$13:$H$512,$J38)))</f>
        <v/>
      </c>
      <c r="I38" s="41">
        <f>IF(OR($M$3="No",$M$3="",NOT(ISNUMBER(F38))),"",IF(NOT(ISNUMBER(H38)),"Falta IVA",ROUND(F38*(1+(H38+IF($M$3="Con IVA y recargo",IF(H38=21,5.2,IF(H38=10,1.4,IF(H38=4,0.5,0))),0))/100),2)))</f>
        <v/>
      </c>
      <c r="J38">
        <f>IFERROR(MATCH(28,Tarifa!$O$13:$O$512,0),"")</f>
        <v/>
      </c>
    </row>
    <row r="39" ht="17" customHeight="1">
      <c r="A39" s="38">
        <f>IF($J39="","",IFERROR(IF(INDEX(Tarifa!$E$13:$E$512,$J39)&amp;""=INDEX(Tarifa!$E$13:$E$512,$J38)&amp;"","",INDEX(Tarifa!$E$13:$E$512,$J39)&amp;""),""))</f>
        <v/>
      </c>
      <c r="B39" s="39">
        <f>IF($J39="","",INDEX(Tarifa!$A$13:$A$512,$J39)&amp;"")</f>
        <v/>
      </c>
      <c r="C39" s="39">
        <f>IF($J39="","",INDEX(Tarifa!$B$13:$B$512,$J39)&amp;"")</f>
        <v/>
      </c>
      <c r="D39" s="39">
        <f>IF($J39="","",INDEX(Tarifa!$C$13:$C$512,$J39)&amp;"")</f>
        <v/>
      </c>
      <c r="E39" s="40">
        <f>IF($J39="","",IF(INDEX(Tarifa!$D$13:$D$512,$J39)="","",INDEX(Tarifa!$D$13:$D$512,$J39)))</f>
        <v/>
      </c>
      <c r="F39" s="41">
        <f>IF(OR($J39="",$J$1=""),"",IF(INDEX(Tarifa!$G$13:$G$512,$J39)="","",IF(NOT(ISNUMBER(INDEX(Tarifa!$G$13:$G$512,$J39))),"Revisa",IF($J$1=1,INDEX(Tarifa!$G$13:$G$512,$J39),ROUND(ROUND(INDEX(Tarifa!$G$13:$G$512,$J39)*(1+$J$2/100)/$J$3,0)*$J$3,2)))))</f>
        <v/>
      </c>
      <c r="G39" s="42">
        <f>IF(OR(NOT(ISNUMBER(F39)),N(E39)&lt;=1),"",ROUND(F39/E39,3))</f>
        <v/>
      </c>
      <c r="H39" s="43">
        <f>IF($J39="","",IF(INDEX(Tarifa!$H$13:$H$512,$J39)="","",INDEX(Tarifa!$H$13:$H$512,$J39)))</f>
        <v/>
      </c>
      <c r="I39" s="41">
        <f>IF(OR($M$3="No",$M$3="",NOT(ISNUMBER(F39))),"",IF(NOT(ISNUMBER(H39)),"Falta IVA",ROUND(F39*(1+(H39+IF($M$3="Con IVA y recargo",IF(H39=21,5.2,IF(H39=10,1.4,IF(H39=4,0.5,0))),0))/100),2)))</f>
        <v/>
      </c>
      <c r="J39">
        <f>IFERROR(MATCH(29,Tarifa!$O$13:$O$512,0),"")</f>
        <v/>
      </c>
    </row>
    <row r="40" ht="17" customHeight="1">
      <c r="A40" s="38">
        <f>IF($J40="","",IFERROR(IF(INDEX(Tarifa!$E$13:$E$512,$J40)&amp;""=INDEX(Tarifa!$E$13:$E$512,$J39)&amp;"","",INDEX(Tarifa!$E$13:$E$512,$J40)&amp;""),""))</f>
        <v/>
      </c>
      <c r="B40" s="39">
        <f>IF($J40="","",INDEX(Tarifa!$A$13:$A$512,$J40)&amp;"")</f>
        <v/>
      </c>
      <c r="C40" s="39">
        <f>IF($J40="","",INDEX(Tarifa!$B$13:$B$512,$J40)&amp;"")</f>
        <v/>
      </c>
      <c r="D40" s="39">
        <f>IF($J40="","",INDEX(Tarifa!$C$13:$C$512,$J40)&amp;"")</f>
        <v/>
      </c>
      <c r="E40" s="40">
        <f>IF($J40="","",IF(INDEX(Tarifa!$D$13:$D$512,$J40)="","",INDEX(Tarifa!$D$13:$D$512,$J40)))</f>
        <v/>
      </c>
      <c r="F40" s="41">
        <f>IF(OR($J40="",$J$1=""),"",IF(INDEX(Tarifa!$G$13:$G$512,$J40)="","",IF(NOT(ISNUMBER(INDEX(Tarifa!$G$13:$G$512,$J40))),"Revisa",IF($J$1=1,INDEX(Tarifa!$G$13:$G$512,$J40),ROUND(ROUND(INDEX(Tarifa!$G$13:$G$512,$J40)*(1+$J$2/100)/$J$3,0)*$J$3,2)))))</f>
        <v/>
      </c>
      <c r="G40" s="42">
        <f>IF(OR(NOT(ISNUMBER(F40)),N(E40)&lt;=1),"",ROUND(F40/E40,3))</f>
        <v/>
      </c>
      <c r="H40" s="43">
        <f>IF($J40="","",IF(INDEX(Tarifa!$H$13:$H$512,$J40)="","",INDEX(Tarifa!$H$13:$H$512,$J40)))</f>
        <v/>
      </c>
      <c r="I40" s="41">
        <f>IF(OR($M$3="No",$M$3="",NOT(ISNUMBER(F40))),"",IF(NOT(ISNUMBER(H40)),"Falta IVA",ROUND(F40*(1+(H40+IF($M$3="Con IVA y recargo",IF(H40=21,5.2,IF(H40=10,1.4,IF(H40=4,0.5,0))),0))/100),2)))</f>
        <v/>
      </c>
      <c r="J40">
        <f>IFERROR(MATCH(30,Tarifa!$O$13:$O$512,0),"")</f>
        <v/>
      </c>
    </row>
    <row r="41" ht="17" customHeight="1">
      <c r="A41" s="38">
        <f>IF($J41="","",IFERROR(IF(INDEX(Tarifa!$E$13:$E$512,$J41)&amp;""=INDEX(Tarifa!$E$13:$E$512,$J40)&amp;"","",INDEX(Tarifa!$E$13:$E$512,$J41)&amp;""),""))</f>
        <v/>
      </c>
      <c r="B41" s="39">
        <f>IF($J41="","",INDEX(Tarifa!$A$13:$A$512,$J41)&amp;"")</f>
        <v/>
      </c>
      <c r="C41" s="39">
        <f>IF($J41="","",INDEX(Tarifa!$B$13:$B$512,$J41)&amp;"")</f>
        <v/>
      </c>
      <c r="D41" s="39">
        <f>IF($J41="","",INDEX(Tarifa!$C$13:$C$512,$J41)&amp;"")</f>
        <v/>
      </c>
      <c r="E41" s="40">
        <f>IF($J41="","",IF(INDEX(Tarifa!$D$13:$D$512,$J41)="","",INDEX(Tarifa!$D$13:$D$512,$J41)))</f>
        <v/>
      </c>
      <c r="F41" s="41">
        <f>IF(OR($J41="",$J$1=""),"",IF(INDEX(Tarifa!$G$13:$G$512,$J41)="","",IF(NOT(ISNUMBER(INDEX(Tarifa!$G$13:$G$512,$J41))),"Revisa",IF($J$1=1,INDEX(Tarifa!$G$13:$G$512,$J41),ROUND(ROUND(INDEX(Tarifa!$G$13:$G$512,$J41)*(1+$J$2/100)/$J$3,0)*$J$3,2)))))</f>
        <v/>
      </c>
      <c r="G41" s="42">
        <f>IF(OR(NOT(ISNUMBER(F41)),N(E41)&lt;=1),"",ROUND(F41/E41,3))</f>
        <v/>
      </c>
      <c r="H41" s="43">
        <f>IF($J41="","",IF(INDEX(Tarifa!$H$13:$H$512,$J41)="","",INDEX(Tarifa!$H$13:$H$512,$J41)))</f>
        <v/>
      </c>
      <c r="I41" s="41">
        <f>IF(OR($M$3="No",$M$3="",NOT(ISNUMBER(F41))),"",IF(NOT(ISNUMBER(H41)),"Falta IVA",ROUND(F41*(1+(H41+IF($M$3="Con IVA y recargo",IF(H41=21,5.2,IF(H41=10,1.4,IF(H41=4,0.5,0))),0))/100),2)))</f>
        <v/>
      </c>
      <c r="J41">
        <f>IFERROR(MATCH(31,Tarifa!$O$13:$O$512,0),"")</f>
        <v/>
      </c>
    </row>
    <row r="42" ht="17" customHeight="1">
      <c r="A42" s="38">
        <f>IF($J42="","",IFERROR(IF(INDEX(Tarifa!$E$13:$E$512,$J42)&amp;""=INDEX(Tarifa!$E$13:$E$512,$J41)&amp;"","",INDEX(Tarifa!$E$13:$E$512,$J42)&amp;""),""))</f>
        <v/>
      </c>
      <c r="B42" s="39">
        <f>IF($J42="","",INDEX(Tarifa!$A$13:$A$512,$J42)&amp;"")</f>
        <v/>
      </c>
      <c r="C42" s="39">
        <f>IF($J42="","",INDEX(Tarifa!$B$13:$B$512,$J42)&amp;"")</f>
        <v/>
      </c>
      <c r="D42" s="39">
        <f>IF($J42="","",INDEX(Tarifa!$C$13:$C$512,$J42)&amp;"")</f>
        <v/>
      </c>
      <c r="E42" s="40">
        <f>IF($J42="","",IF(INDEX(Tarifa!$D$13:$D$512,$J42)="","",INDEX(Tarifa!$D$13:$D$512,$J42)))</f>
        <v/>
      </c>
      <c r="F42" s="41">
        <f>IF(OR($J42="",$J$1=""),"",IF(INDEX(Tarifa!$G$13:$G$512,$J42)="","",IF(NOT(ISNUMBER(INDEX(Tarifa!$G$13:$G$512,$J42))),"Revisa",IF($J$1=1,INDEX(Tarifa!$G$13:$G$512,$J42),ROUND(ROUND(INDEX(Tarifa!$G$13:$G$512,$J42)*(1+$J$2/100)/$J$3,0)*$J$3,2)))))</f>
        <v/>
      </c>
      <c r="G42" s="42">
        <f>IF(OR(NOT(ISNUMBER(F42)),N(E42)&lt;=1),"",ROUND(F42/E42,3))</f>
        <v/>
      </c>
      <c r="H42" s="43">
        <f>IF($J42="","",IF(INDEX(Tarifa!$H$13:$H$512,$J42)="","",INDEX(Tarifa!$H$13:$H$512,$J42)))</f>
        <v/>
      </c>
      <c r="I42" s="41">
        <f>IF(OR($M$3="No",$M$3="",NOT(ISNUMBER(F42))),"",IF(NOT(ISNUMBER(H42)),"Falta IVA",ROUND(F42*(1+(H42+IF($M$3="Con IVA y recargo",IF(H42=21,5.2,IF(H42=10,1.4,IF(H42=4,0.5,0))),0))/100),2)))</f>
        <v/>
      </c>
      <c r="J42">
        <f>IFERROR(MATCH(32,Tarifa!$O$13:$O$512,0),"")</f>
        <v/>
      </c>
    </row>
    <row r="43" ht="17" customHeight="1">
      <c r="A43" s="38">
        <f>IF($J43="","",IFERROR(IF(INDEX(Tarifa!$E$13:$E$512,$J43)&amp;""=INDEX(Tarifa!$E$13:$E$512,$J42)&amp;"","",INDEX(Tarifa!$E$13:$E$512,$J43)&amp;""),""))</f>
        <v/>
      </c>
      <c r="B43" s="39">
        <f>IF($J43="","",INDEX(Tarifa!$A$13:$A$512,$J43)&amp;"")</f>
        <v/>
      </c>
      <c r="C43" s="39">
        <f>IF($J43="","",INDEX(Tarifa!$B$13:$B$512,$J43)&amp;"")</f>
        <v/>
      </c>
      <c r="D43" s="39">
        <f>IF($J43="","",INDEX(Tarifa!$C$13:$C$512,$J43)&amp;"")</f>
        <v/>
      </c>
      <c r="E43" s="40">
        <f>IF($J43="","",IF(INDEX(Tarifa!$D$13:$D$512,$J43)="","",INDEX(Tarifa!$D$13:$D$512,$J43)))</f>
        <v/>
      </c>
      <c r="F43" s="41">
        <f>IF(OR($J43="",$J$1=""),"",IF(INDEX(Tarifa!$G$13:$G$512,$J43)="","",IF(NOT(ISNUMBER(INDEX(Tarifa!$G$13:$G$512,$J43))),"Revisa",IF($J$1=1,INDEX(Tarifa!$G$13:$G$512,$J43),ROUND(ROUND(INDEX(Tarifa!$G$13:$G$512,$J43)*(1+$J$2/100)/$J$3,0)*$J$3,2)))))</f>
        <v/>
      </c>
      <c r="G43" s="42">
        <f>IF(OR(NOT(ISNUMBER(F43)),N(E43)&lt;=1),"",ROUND(F43/E43,3))</f>
        <v/>
      </c>
      <c r="H43" s="43">
        <f>IF($J43="","",IF(INDEX(Tarifa!$H$13:$H$512,$J43)="","",INDEX(Tarifa!$H$13:$H$512,$J43)))</f>
        <v/>
      </c>
      <c r="I43" s="41">
        <f>IF(OR($M$3="No",$M$3="",NOT(ISNUMBER(F43))),"",IF(NOT(ISNUMBER(H43)),"Falta IVA",ROUND(F43*(1+(H43+IF($M$3="Con IVA y recargo",IF(H43=21,5.2,IF(H43=10,1.4,IF(H43=4,0.5,0))),0))/100),2)))</f>
        <v/>
      </c>
      <c r="J43">
        <f>IFERROR(MATCH(33,Tarifa!$O$13:$O$512,0),"")</f>
        <v/>
      </c>
    </row>
    <row r="44" ht="17" customHeight="1">
      <c r="A44" s="38">
        <f>IF($J44="","",IFERROR(IF(INDEX(Tarifa!$E$13:$E$512,$J44)&amp;""=INDEX(Tarifa!$E$13:$E$512,$J43)&amp;"","",INDEX(Tarifa!$E$13:$E$512,$J44)&amp;""),""))</f>
        <v/>
      </c>
      <c r="B44" s="39">
        <f>IF($J44="","",INDEX(Tarifa!$A$13:$A$512,$J44)&amp;"")</f>
        <v/>
      </c>
      <c r="C44" s="39">
        <f>IF($J44="","",INDEX(Tarifa!$B$13:$B$512,$J44)&amp;"")</f>
        <v/>
      </c>
      <c r="D44" s="39">
        <f>IF($J44="","",INDEX(Tarifa!$C$13:$C$512,$J44)&amp;"")</f>
        <v/>
      </c>
      <c r="E44" s="40">
        <f>IF($J44="","",IF(INDEX(Tarifa!$D$13:$D$512,$J44)="","",INDEX(Tarifa!$D$13:$D$512,$J44)))</f>
        <v/>
      </c>
      <c r="F44" s="41">
        <f>IF(OR($J44="",$J$1=""),"",IF(INDEX(Tarifa!$G$13:$G$512,$J44)="","",IF(NOT(ISNUMBER(INDEX(Tarifa!$G$13:$G$512,$J44))),"Revisa",IF($J$1=1,INDEX(Tarifa!$G$13:$G$512,$J44),ROUND(ROUND(INDEX(Tarifa!$G$13:$G$512,$J44)*(1+$J$2/100)/$J$3,0)*$J$3,2)))))</f>
        <v/>
      </c>
      <c r="G44" s="42">
        <f>IF(OR(NOT(ISNUMBER(F44)),N(E44)&lt;=1),"",ROUND(F44/E44,3))</f>
        <v/>
      </c>
      <c r="H44" s="43">
        <f>IF($J44="","",IF(INDEX(Tarifa!$H$13:$H$512,$J44)="","",INDEX(Tarifa!$H$13:$H$512,$J44)))</f>
        <v/>
      </c>
      <c r="I44" s="41">
        <f>IF(OR($M$3="No",$M$3="",NOT(ISNUMBER(F44))),"",IF(NOT(ISNUMBER(H44)),"Falta IVA",ROUND(F44*(1+(H44+IF($M$3="Con IVA y recargo",IF(H44=21,5.2,IF(H44=10,1.4,IF(H44=4,0.5,0))),0))/100),2)))</f>
        <v/>
      </c>
      <c r="J44">
        <f>IFERROR(MATCH(34,Tarifa!$O$13:$O$512,0),"")</f>
        <v/>
      </c>
    </row>
    <row r="45" ht="17" customHeight="1">
      <c r="A45" s="38">
        <f>IF($J45="","",IFERROR(IF(INDEX(Tarifa!$E$13:$E$512,$J45)&amp;""=INDEX(Tarifa!$E$13:$E$512,$J44)&amp;"","",INDEX(Tarifa!$E$13:$E$512,$J45)&amp;""),""))</f>
        <v/>
      </c>
      <c r="B45" s="39">
        <f>IF($J45="","",INDEX(Tarifa!$A$13:$A$512,$J45)&amp;"")</f>
        <v/>
      </c>
      <c r="C45" s="39">
        <f>IF($J45="","",INDEX(Tarifa!$B$13:$B$512,$J45)&amp;"")</f>
        <v/>
      </c>
      <c r="D45" s="39">
        <f>IF($J45="","",INDEX(Tarifa!$C$13:$C$512,$J45)&amp;"")</f>
        <v/>
      </c>
      <c r="E45" s="40">
        <f>IF($J45="","",IF(INDEX(Tarifa!$D$13:$D$512,$J45)="","",INDEX(Tarifa!$D$13:$D$512,$J45)))</f>
        <v/>
      </c>
      <c r="F45" s="41">
        <f>IF(OR($J45="",$J$1=""),"",IF(INDEX(Tarifa!$G$13:$G$512,$J45)="","",IF(NOT(ISNUMBER(INDEX(Tarifa!$G$13:$G$512,$J45))),"Revisa",IF($J$1=1,INDEX(Tarifa!$G$13:$G$512,$J45),ROUND(ROUND(INDEX(Tarifa!$G$13:$G$512,$J45)*(1+$J$2/100)/$J$3,0)*$J$3,2)))))</f>
        <v/>
      </c>
      <c r="G45" s="42">
        <f>IF(OR(NOT(ISNUMBER(F45)),N(E45)&lt;=1),"",ROUND(F45/E45,3))</f>
        <v/>
      </c>
      <c r="H45" s="43">
        <f>IF($J45="","",IF(INDEX(Tarifa!$H$13:$H$512,$J45)="","",INDEX(Tarifa!$H$13:$H$512,$J45)))</f>
        <v/>
      </c>
      <c r="I45" s="41">
        <f>IF(OR($M$3="No",$M$3="",NOT(ISNUMBER(F45))),"",IF(NOT(ISNUMBER(H45)),"Falta IVA",ROUND(F45*(1+(H45+IF($M$3="Con IVA y recargo",IF(H45=21,5.2,IF(H45=10,1.4,IF(H45=4,0.5,0))),0))/100),2)))</f>
        <v/>
      </c>
      <c r="J45">
        <f>IFERROR(MATCH(35,Tarifa!$O$13:$O$512,0),"")</f>
        <v/>
      </c>
    </row>
    <row r="46" ht="17" customHeight="1">
      <c r="A46" s="38">
        <f>IF($J46="","",IFERROR(IF(INDEX(Tarifa!$E$13:$E$512,$J46)&amp;""=INDEX(Tarifa!$E$13:$E$512,$J45)&amp;"","",INDEX(Tarifa!$E$13:$E$512,$J46)&amp;""),""))</f>
        <v/>
      </c>
      <c r="B46" s="39">
        <f>IF($J46="","",INDEX(Tarifa!$A$13:$A$512,$J46)&amp;"")</f>
        <v/>
      </c>
      <c r="C46" s="39">
        <f>IF($J46="","",INDEX(Tarifa!$B$13:$B$512,$J46)&amp;"")</f>
        <v/>
      </c>
      <c r="D46" s="39">
        <f>IF($J46="","",INDEX(Tarifa!$C$13:$C$512,$J46)&amp;"")</f>
        <v/>
      </c>
      <c r="E46" s="40">
        <f>IF($J46="","",IF(INDEX(Tarifa!$D$13:$D$512,$J46)="","",INDEX(Tarifa!$D$13:$D$512,$J46)))</f>
        <v/>
      </c>
      <c r="F46" s="41">
        <f>IF(OR($J46="",$J$1=""),"",IF(INDEX(Tarifa!$G$13:$G$512,$J46)="","",IF(NOT(ISNUMBER(INDEX(Tarifa!$G$13:$G$512,$J46))),"Revisa",IF($J$1=1,INDEX(Tarifa!$G$13:$G$512,$J46),ROUND(ROUND(INDEX(Tarifa!$G$13:$G$512,$J46)*(1+$J$2/100)/$J$3,0)*$J$3,2)))))</f>
        <v/>
      </c>
      <c r="G46" s="42">
        <f>IF(OR(NOT(ISNUMBER(F46)),N(E46)&lt;=1),"",ROUND(F46/E46,3))</f>
        <v/>
      </c>
      <c r="H46" s="43">
        <f>IF($J46="","",IF(INDEX(Tarifa!$H$13:$H$512,$J46)="","",INDEX(Tarifa!$H$13:$H$512,$J46)))</f>
        <v/>
      </c>
      <c r="I46" s="41">
        <f>IF(OR($M$3="No",$M$3="",NOT(ISNUMBER(F46))),"",IF(NOT(ISNUMBER(H46)),"Falta IVA",ROUND(F46*(1+(H46+IF($M$3="Con IVA y recargo",IF(H46=21,5.2,IF(H46=10,1.4,IF(H46=4,0.5,0))),0))/100),2)))</f>
        <v/>
      </c>
      <c r="J46">
        <f>IFERROR(MATCH(36,Tarifa!$O$13:$O$512,0),"")</f>
        <v/>
      </c>
    </row>
    <row r="47" ht="17" customHeight="1">
      <c r="A47" s="38">
        <f>IF($J47="","",IFERROR(IF(INDEX(Tarifa!$E$13:$E$512,$J47)&amp;""=INDEX(Tarifa!$E$13:$E$512,$J46)&amp;"","",INDEX(Tarifa!$E$13:$E$512,$J47)&amp;""),""))</f>
        <v/>
      </c>
      <c r="B47" s="39">
        <f>IF($J47="","",INDEX(Tarifa!$A$13:$A$512,$J47)&amp;"")</f>
        <v/>
      </c>
      <c r="C47" s="39">
        <f>IF($J47="","",INDEX(Tarifa!$B$13:$B$512,$J47)&amp;"")</f>
        <v/>
      </c>
      <c r="D47" s="39">
        <f>IF($J47="","",INDEX(Tarifa!$C$13:$C$512,$J47)&amp;"")</f>
        <v/>
      </c>
      <c r="E47" s="40">
        <f>IF($J47="","",IF(INDEX(Tarifa!$D$13:$D$512,$J47)="","",INDEX(Tarifa!$D$13:$D$512,$J47)))</f>
        <v/>
      </c>
      <c r="F47" s="41">
        <f>IF(OR($J47="",$J$1=""),"",IF(INDEX(Tarifa!$G$13:$G$512,$J47)="","",IF(NOT(ISNUMBER(INDEX(Tarifa!$G$13:$G$512,$J47))),"Revisa",IF($J$1=1,INDEX(Tarifa!$G$13:$G$512,$J47),ROUND(ROUND(INDEX(Tarifa!$G$13:$G$512,$J47)*(1+$J$2/100)/$J$3,0)*$J$3,2)))))</f>
        <v/>
      </c>
      <c r="G47" s="42">
        <f>IF(OR(NOT(ISNUMBER(F47)),N(E47)&lt;=1),"",ROUND(F47/E47,3))</f>
        <v/>
      </c>
      <c r="H47" s="43">
        <f>IF($J47="","",IF(INDEX(Tarifa!$H$13:$H$512,$J47)="","",INDEX(Tarifa!$H$13:$H$512,$J47)))</f>
        <v/>
      </c>
      <c r="I47" s="41">
        <f>IF(OR($M$3="No",$M$3="",NOT(ISNUMBER(F47))),"",IF(NOT(ISNUMBER(H47)),"Falta IVA",ROUND(F47*(1+(H47+IF($M$3="Con IVA y recargo",IF(H47=21,5.2,IF(H47=10,1.4,IF(H47=4,0.5,0))),0))/100),2)))</f>
        <v/>
      </c>
      <c r="J47">
        <f>IFERROR(MATCH(37,Tarifa!$O$13:$O$512,0),"")</f>
        <v/>
      </c>
    </row>
    <row r="48" ht="17" customHeight="1">
      <c r="A48" s="38">
        <f>IF($J48="","",IFERROR(IF(INDEX(Tarifa!$E$13:$E$512,$J48)&amp;""=INDEX(Tarifa!$E$13:$E$512,$J47)&amp;"","",INDEX(Tarifa!$E$13:$E$512,$J48)&amp;""),""))</f>
        <v/>
      </c>
      <c r="B48" s="39">
        <f>IF($J48="","",INDEX(Tarifa!$A$13:$A$512,$J48)&amp;"")</f>
        <v/>
      </c>
      <c r="C48" s="39">
        <f>IF($J48="","",INDEX(Tarifa!$B$13:$B$512,$J48)&amp;"")</f>
        <v/>
      </c>
      <c r="D48" s="39">
        <f>IF($J48="","",INDEX(Tarifa!$C$13:$C$512,$J48)&amp;"")</f>
        <v/>
      </c>
      <c r="E48" s="40">
        <f>IF($J48="","",IF(INDEX(Tarifa!$D$13:$D$512,$J48)="","",INDEX(Tarifa!$D$13:$D$512,$J48)))</f>
        <v/>
      </c>
      <c r="F48" s="41">
        <f>IF(OR($J48="",$J$1=""),"",IF(INDEX(Tarifa!$G$13:$G$512,$J48)="","",IF(NOT(ISNUMBER(INDEX(Tarifa!$G$13:$G$512,$J48))),"Revisa",IF($J$1=1,INDEX(Tarifa!$G$13:$G$512,$J48),ROUND(ROUND(INDEX(Tarifa!$G$13:$G$512,$J48)*(1+$J$2/100)/$J$3,0)*$J$3,2)))))</f>
        <v/>
      </c>
      <c r="G48" s="42">
        <f>IF(OR(NOT(ISNUMBER(F48)),N(E48)&lt;=1),"",ROUND(F48/E48,3))</f>
        <v/>
      </c>
      <c r="H48" s="43">
        <f>IF($J48="","",IF(INDEX(Tarifa!$H$13:$H$512,$J48)="","",INDEX(Tarifa!$H$13:$H$512,$J48)))</f>
        <v/>
      </c>
      <c r="I48" s="41">
        <f>IF(OR($M$3="No",$M$3="",NOT(ISNUMBER(F48))),"",IF(NOT(ISNUMBER(H48)),"Falta IVA",ROUND(F48*(1+(H48+IF($M$3="Con IVA y recargo",IF(H48=21,5.2,IF(H48=10,1.4,IF(H48=4,0.5,0))),0))/100),2)))</f>
        <v/>
      </c>
      <c r="J48">
        <f>IFERROR(MATCH(38,Tarifa!$O$13:$O$512,0),"")</f>
        <v/>
      </c>
    </row>
    <row r="49" ht="17" customHeight="1">
      <c r="A49" s="38">
        <f>IF($J49="","",IFERROR(IF(INDEX(Tarifa!$E$13:$E$512,$J49)&amp;""=INDEX(Tarifa!$E$13:$E$512,$J48)&amp;"","",INDEX(Tarifa!$E$13:$E$512,$J49)&amp;""),""))</f>
        <v/>
      </c>
      <c r="B49" s="39">
        <f>IF($J49="","",INDEX(Tarifa!$A$13:$A$512,$J49)&amp;"")</f>
        <v/>
      </c>
      <c r="C49" s="39">
        <f>IF($J49="","",INDEX(Tarifa!$B$13:$B$512,$J49)&amp;"")</f>
        <v/>
      </c>
      <c r="D49" s="39">
        <f>IF($J49="","",INDEX(Tarifa!$C$13:$C$512,$J49)&amp;"")</f>
        <v/>
      </c>
      <c r="E49" s="40">
        <f>IF($J49="","",IF(INDEX(Tarifa!$D$13:$D$512,$J49)="","",INDEX(Tarifa!$D$13:$D$512,$J49)))</f>
        <v/>
      </c>
      <c r="F49" s="41">
        <f>IF(OR($J49="",$J$1=""),"",IF(INDEX(Tarifa!$G$13:$G$512,$J49)="","",IF(NOT(ISNUMBER(INDEX(Tarifa!$G$13:$G$512,$J49))),"Revisa",IF($J$1=1,INDEX(Tarifa!$G$13:$G$512,$J49),ROUND(ROUND(INDEX(Tarifa!$G$13:$G$512,$J49)*(1+$J$2/100)/$J$3,0)*$J$3,2)))))</f>
        <v/>
      </c>
      <c r="G49" s="42">
        <f>IF(OR(NOT(ISNUMBER(F49)),N(E49)&lt;=1),"",ROUND(F49/E49,3))</f>
        <v/>
      </c>
      <c r="H49" s="43">
        <f>IF($J49="","",IF(INDEX(Tarifa!$H$13:$H$512,$J49)="","",INDEX(Tarifa!$H$13:$H$512,$J49)))</f>
        <v/>
      </c>
      <c r="I49" s="41">
        <f>IF(OR($M$3="No",$M$3="",NOT(ISNUMBER(F49))),"",IF(NOT(ISNUMBER(H49)),"Falta IVA",ROUND(F49*(1+(H49+IF($M$3="Con IVA y recargo",IF(H49=21,5.2,IF(H49=10,1.4,IF(H49=4,0.5,0))),0))/100),2)))</f>
        <v/>
      </c>
      <c r="J49">
        <f>IFERROR(MATCH(39,Tarifa!$O$13:$O$512,0),"")</f>
        <v/>
      </c>
    </row>
    <row r="50" ht="17" customHeight="1">
      <c r="A50" s="38">
        <f>IF($J50="","",IFERROR(IF(INDEX(Tarifa!$E$13:$E$512,$J50)&amp;""=INDEX(Tarifa!$E$13:$E$512,$J49)&amp;"","",INDEX(Tarifa!$E$13:$E$512,$J50)&amp;""),""))</f>
        <v/>
      </c>
      <c r="B50" s="39">
        <f>IF($J50="","",INDEX(Tarifa!$A$13:$A$512,$J50)&amp;"")</f>
        <v/>
      </c>
      <c r="C50" s="39">
        <f>IF($J50="","",INDEX(Tarifa!$B$13:$B$512,$J50)&amp;"")</f>
        <v/>
      </c>
      <c r="D50" s="39">
        <f>IF($J50="","",INDEX(Tarifa!$C$13:$C$512,$J50)&amp;"")</f>
        <v/>
      </c>
      <c r="E50" s="40">
        <f>IF($J50="","",IF(INDEX(Tarifa!$D$13:$D$512,$J50)="","",INDEX(Tarifa!$D$13:$D$512,$J50)))</f>
        <v/>
      </c>
      <c r="F50" s="41">
        <f>IF(OR($J50="",$J$1=""),"",IF(INDEX(Tarifa!$G$13:$G$512,$J50)="","",IF(NOT(ISNUMBER(INDEX(Tarifa!$G$13:$G$512,$J50))),"Revisa",IF($J$1=1,INDEX(Tarifa!$G$13:$G$512,$J50),ROUND(ROUND(INDEX(Tarifa!$G$13:$G$512,$J50)*(1+$J$2/100)/$J$3,0)*$J$3,2)))))</f>
        <v/>
      </c>
      <c r="G50" s="42">
        <f>IF(OR(NOT(ISNUMBER(F50)),N(E50)&lt;=1),"",ROUND(F50/E50,3))</f>
        <v/>
      </c>
      <c r="H50" s="43">
        <f>IF($J50="","",IF(INDEX(Tarifa!$H$13:$H$512,$J50)="","",INDEX(Tarifa!$H$13:$H$512,$J50)))</f>
        <v/>
      </c>
      <c r="I50" s="41">
        <f>IF(OR($M$3="No",$M$3="",NOT(ISNUMBER(F50))),"",IF(NOT(ISNUMBER(H50)),"Falta IVA",ROUND(F50*(1+(H50+IF($M$3="Con IVA y recargo",IF(H50=21,5.2,IF(H50=10,1.4,IF(H50=4,0.5,0))),0))/100),2)))</f>
        <v/>
      </c>
      <c r="J50">
        <f>IFERROR(MATCH(40,Tarifa!$O$13:$O$512,0),"")</f>
        <v/>
      </c>
    </row>
    <row r="51" ht="17" customHeight="1">
      <c r="A51" s="38">
        <f>IF($J51="","",IFERROR(IF(INDEX(Tarifa!$E$13:$E$512,$J51)&amp;""=INDEX(Tarifa!$E$13:$E$512,$J50)&amp;"","",INDEX(Tarifa!$E$13:$E$512,$J51)&amp;""),""))</f>
        <v/>
      </c>
      <c r="B51" s="39">
        <f>IF($J51="","",INDEX(Tarifa!$A$13:$A$512,$J51)&amp;"")</f>
        <v/>
      </c>
      <c r="C51" s="39">
        <f>IF($J51="","",INDEX(Tarifa!$B$13:$B$512,$J51)&amp;"")</f>
        <v/>
      </c>
      <c r="D51" s="39">
        <f>IF($J51="","",INDEX(Tarifa!$C$13:$C$512,$J51)&amp;"")</f>
        <v/>
      </c>
      <c r="E51" s="40">
        <f>IF($J51="","",IF(INDEX(Tarifa!$D$13:$D$512,$J51)="","",INDEX(Tarifa!$D$13:$D$512,$J51)))</f>
        <v/>
      </c>
      <c r="F51" s="41">
        <f>IF(OR($J51="",$J$1=""),"",IF(INDEX(Tarifa!$G$13:$G$512,$J51)="","",IF(NOT(ISNUMBER(INDEX(Tarifa!$G$13:$G$512,$J51))),"Revisa",IF($J$1=1,INDEX(Tarifa!$G$13:$G$512,$J51),ROUND(ROUND(INDEX(Tarifa!$G$13:$G$512,$J51)*(1+$J$2/100)/$J$3,0)*$J$3,2)))))</f>
        <v/>
      </c>
      <c r="G51" s="42">
        <f>IF(OR(NOT(ISNUMBER(F51)),N(E51)&lt;=1),"",ROUND(F51/E51,3))</f>
        <v/>
      </c>
      <c r="H51" s="43">
        <f>IF($J51="","",IF(INDEX(Tarifa!$H$13:$H$512,$J51)="","",INDEX(Tarifa!$H$13:$H$512,$J51)))</f>
        <v/>
      </c>
      <c r="I51" s="41">
        <f>IF(OR($M$3="No",$M$3="",NOT(ISNUMBER(F51))),"",IF(NOT(ISNUMBER(H51)),"Falta IVA",ROUND(F51*(1+(H51+IF($M$3="Con IVA y recargo",IF(H51=21,5.2,IF(H51=10,1.4,IF(H51=4,0.5,0))),0))/100),2)))</f>
        <v/>
      </c>
      <c r="J51">
        <f>IFERROR(MATCH(41,Tarifa!$O$13:$O$512,0),"")</f>
        <v/>
      </c>
    </row>
    <row r="52" ht="17" customHeight="1">
      <c r="A52" s="38">
        <f>IF($J52="","",IFERROR(IF(INDEX(Tarifa!$E$13:$E$512,$J52)&amp;""=INDEX(Tarifa!$E$13:$E$512,$J51)&amp;"","",INDEX(Tarifa!$E$13:$E$512,$J52)&amp;""),""))</f>
        <v/>
      </c>
      <c r="B52" s="39">
        <f>IF($J52="","",INDEX(Tarifa!$A$13:$A$512,$J52)&amp;"")</f>
        <v/>
      </c>
      <c r="C52" s="39">
        <f>IF($J52="","",INDEX(Tarifa!$B$13:$B$512,$J52)&amp;"")</f>
        <v/>
      </c>
      <c r="D52" s="39">
        <f>IF($J52="","",INDEX(Tarifa!$C$13:$C$512,$J52)&amp;"")</f>
        <v/>
      </c>
      <c r="E52" s="40">
        <f>IF($J52="","",IF(INDEX(Tarifa!$D$13:$D$512,$J52)="","",INDEX(Tarifa!$D$13:$D$512,$J52)))</f>
        <v/>
      </c>
      <c r="F52" s="41">
        <f>IF(OR($J52="",$J$1=""),"",IF(INDEX(Tarifa!$G$13:$G$512,$J52)="","",IF(NOT(ISNUMBER(INDEX(Tarifa!$G$13:$G$512,$J52))),"Revisa",IF($J$1=1,INDEX(Tarifa!$G$13:$G$512,$J52),ROUND(ROUND(INDEX(Tarifa!$G$13:$G$512,$J52)*(1+$J$2/100)/$J$3,0)*$J$3,2)))))</f>
        <v/>
      </c>
      <c r="G52" s="42">
        <f>IF(OR(NOT(ISNUMBER(F52)),N(E52)&lt;=1),"",ROUND(F52/E52,3))</f>
        <v/>
      </c>
      <c r="H52" s="43">
        <f>IF($J52="","",IF(INDEX(Tarifa!$H$13:$H$512,$J52)="","",INDEX(Tarifa!$H$13:$H$512,$J52)))</f>
        <v/>
      </c>
      <c r="I52" s="41">
        <f>IF(OR($M$3="No",$M$3="",NOT(ISNUMBER(F52))),"",IF(NOT(ISNUMBER(H52)),"Falta IVA",ROUND(F52*(1+(H52+IF($M$3="Con IVA y recargo",IF(H52=21,5.2,IF(H52=10,1.4,IF(H52=4,0.5,0))),0))/100),2)))</f>
        <v/>
      </c>
      <c r="J52">
        <f>IFERROR(MATCH(42,Tarifa!$O$13:$O$512,0),"")</f>
        <v/>
      </c>
    </row>
    <row r="53" ht="17" customHeight="1">
      <c r="A53" s="38">
        <f>IF($J53="","",IFERROR(IF(INDEX(Tarifa!$E$13:$E$512,$J53)&amp;""=INDEX(Tarifa!$E$13:$E$512,$J52)&amp;"","",INDEX(Tarifa!$E$13:$E$512,$J53)&amp;""),""))</f>
        <v/>
      </c>
      <c r="B53" s="39">
        <f>IF($J53="","",INDEX(Tarifa!$A$13:$A$512,$J53)&amp;"")</f>
        <v/>
      </c>
      <c r="C53" s="39">
        <f>IF($J53="","",INDEX(Tarifa!$B$13:$B$512,$J53)&amp;"")</f>
        <v/>
      </c>
      <c r="D53" s="39">
        <f>IF($J53="","",INDEX(Tarifa!$C$13:$C$512,$J53)&amp;"")</f>
        <v/>
      </c>
      <c r="E53" s="40">
        <f>IF($J53="","",IF(INDEX(Tarifa!$D$13:$D$512,$J53)="","",INDEX(Tarifa!$D$13:$D$512,$J53)))</f>
        <v/>
      </c>
      <c r="F53" s="41">
        <f>IF(OR($J53="",$J$1=""),"",IF(INDEX(Tarifa!$G$13:$G$512,$J53)="","",IF(NOT(ISNUMBER(INDEX(Tarifa!$G$13:$G$512,$J53))),"Revisa",IF($J$1=1,INDEX(Tarifa!$G$13:$G$512,$J53),ROUND(ROUND(INDEX(Tarifa!$G$13:$G$512,$J53)*(1+$J$2/100)/$J$3,0)*$J$3,2)))))</f>
        <v/>
      </c>
      <c r="G53" s="42">
        <f>IF(OR(NOT(ISNUMBER(F53)),N(E53)&lt;=1),"",ROUND(F53/E53,3))</f>
        <v/>
      </c>
      <c r="H53" s="43">
        <f>IF($J53="","",IF(INDEX(Tarifa!$H$13:$H$512,$J53)="","",INDEX(Tarifa!$H$13:$H$512,$J53)))</f>
        <v/>
      </c>
      <c r="I53" s="41">
        <f>IF(OR($M$3="No",$M$3="",NOT(ISNUMBER(F53))),"",IF(NOT(ISNUMBER(H53)),"Falta IVA",ROUND(F53*(1+(H53+IF($M$3="Con IVA y recargo",IF(H53=21,5.2,IF(H53=10,1.4,IF(H53=4,0.5,0))),0))/100),2)))</f>
        <v/>
      </c>
      <c r="J53">
        <f>IFERROR(MATCH(43,Tarifa!$O$13:$O$512,0),"")</f>
        <v/>
      </c>
    </row>
    <row r="54" ht="17" customHeight="1">
      <c r="A54" s="38">
        <f>IF($J54="","",IFERROR(IF(INDEX(Tarifa!$E$13:$E$512,$J54)&amp;""=INDEX(Tarifa!$E$13:$E$512,$J53)&amp;"","",INDEX(Tarifa!$E$13:$E$512,$J54)&amp;""),""))</f>
        <v/>
      </c>
      <c r="B54" s="39">
        <f>IF($J54="","",INDEX(Tarifa!$A$13:$A$512,$J54)&amp;"")</f>
        <v/>
      </c>
      <c r="C54" s="39">
        <f>IF($J54="","",INDEX(Tarifa!$B$13:$B$512,$J54)&amp;"")</f>
        <v/>
      </c>
      <c r="D54" s="39">
        <f>IF($J54="","",INDEX(Tarifa!$C$13:$C$512,$J54)&amp;"")</f>
        <v/>
      </c>
      <c r="E54" s="40">
        <f>IF($J54="","",IF(INDEX(Tarifa!$D$13:$D$512,$J54)="","",INDEX(Tarifa!$D$13:$D$512,$J54)))</f>
        <v/>
      </c>
      <c r="F54" s="41">
        <f>IF(OR($J54="",$J$1=""),"",IF(INDEX(Tarifa!$G$13:$G$512,$J54)="","",IF(NOT(ISNUMBER(INDEX(Tarifa!$G$13:$G$512,$J54))),"Revisa",IF($J$1=1,INDEX(Tarifa!$G$13:$G$512,$J54),ROUND(ROUND(INDEX(Tarifa!$G$13:$G$512,$J54)*(1+$J$2/100)/$J$3,0)*$J$3,2)))))</f>
        <v/>
      </c>
      <c r="G54" s="42">
        <f>IF(OR(NOT(ISNUMBER(F54)),N(E54)&lt;=1),"",ROUND(F54/E54,3))</f>
        <v/>
      </c>
      <c r="H54" s="43">
        <f>IF($J54="","",IF(INDEX(Tarifa!$H$13:$H$512,$J54)="","",INDEX(Tarifa!$H$13:$H$512,$J54)))</f>
        <v/>
      </c>
      <c r="I54" s="41">
        <f>IF(OR($M$3="No",$M$3="",NOT(ISNUMBER(F54))),"",IF(NOT(ISNUMBER(H54)),"Falta IVA",ROUND(F54*(1+(H54+IF($M$3="Con IVA y recargo",IF(H54=21,5.2,IF(H54=10,1.4,IF(H54=4,0.5,0))),0))/100),2)))</f>
        <v/>
      </c>
      <c r="J54">
        <f>IFERROR(MATCH(44,Tarifa!$O$13:$O$512,0),"")</f>
        <v/>
      </c>
    </row>
    <row r="55" ht="17" customHeight="1">
      <c r="A55" s="38">
        <f>IF($J55="","",IFERROR(IF(INDEX(Tarifa!$E$13:$E$512,$J55)&amp;""=INDEX(Tarifa!$E$13:$E$512,$J54)&amp;"","",INDEX(Tarifa!$E$13:$E$512,$J55)&amp;""),""))</f>
        <v/>
      </c>
      <c r="B55" s="39">
        <f>IF($J55="","",INDEX(Tarifa!$A$13:$A$512,$J55)&amp;"")</f>
        <v/>
      </c>
      <c r="C55" s="39">
        <f>IF($J55="","",INDEX(Tarifa!$B$13:$B$512,$J55)&amp;"")</f>
        <v/>
      </c>
      <c r="D55" s="39">
        <f>IF($J55="","",INDEX(Tarifa!$C$13:$C$512,$J55)&amp;"")</f>
        <v/>
      </c>
      <c r="E55" s="40">
        <f>IF($J55="","",IF(INDEX(Tarifa!$D$13:$D$512,$J55)="","",INDEX(Tarifa!$D$13:$D$512,$J55)))</f>
        <v/>
      </c>
      <c r="F55" s="41">
        <f>IF(OR($J55="",$J$1=""),"",IF(INDEX(Tarifa!$G$13:$G$512,$J55)="","",IF(NOT(ISNUMBER(INDEX(Tarifa!$G$13:$G$512,$J55))),"Revisa",IF($J$1=1,INDEX(Tarifa!$G$13:$G$512,$J55),ROUND(ROUND(INDEX(Tarifa!$G$13:$G$512,$J55)*(1+$J$2/100)/$J$3,0)*$J$3,2)))))</f>
        <v/>
      </c>
      <c r="G55" s="42">
        <f>IF(OR(NOT(ISNUMBER(F55)),N(E55)&lt;=1),"",ROUND(F55/E55,3))</f>
        <v/>
      </c>
      <c r="H55" s="43">
        <f>IF($J55="","",IF(INDEX(Tarifa!$H$13:$H$512,$J55)="","",INDEX(Tarifa!$H$13:$H$512,$J55)))</f>
        <v/>
      </c>
      <c r="I55" s="41">
        <f>IF(OR($M$3="No",$M$3="",NOT(ISNUMBER(F55))),"",IF(NOT(ISNUMBER(H55)),"Falta IVA",ROUND(F55*(1+(H55+IF($M$3="Con IVA y recargo",IF(H55=21,5.2,IF(H55=10,1.4,IF(H55=4,0.5,0))),0))/100),2)))</f>
        <v/>
      </c>
      <c r="J55">
        <f>IFERROR(MATCH(45,Tarifa!$O$13:$O$512,0),"")</f>
        <v/>
      </c>
    </row>
    <row r="56" ht="17" customHeight="1">
      <c r="A56" s="38">
        <f>IF($J56="","",IFERROR(IF(INDEX(Tarifa!$E$13:$E$512,$J56)&amp;""=INDEX(Tarifa!$E$13:$E$512,$J55)&amp;"","",INDEX(Tarifa!$E$13:$E$512,$J56)&amp;""),""))</f>
        <v/>
      </c>
      <c r="B56" s="39">
        <f>IF($J56="","",INDEX(Tarifa!$A$13:$A$512,$J56)&amp;"")</f>
        <v/>
      </c>
      <c r="C56" s="39">
        <f>IF($J56="","",INDEX(Tarifa!$B$13:$B$512,$J56)&amp;"")</f>
        <v/>
      </c>
      <c r="D56" s="39">
        <f>IF($J56="","",INDEX(Tarifa!$C$13:$C$512,$J56)&amp;"")</f>
        <v/>
      </c>
      <c r="E56" s="40">
        <f>IF($J56="","",IF(INDEX(Tarifa!$D$13:$D$512,$J56)="","",INDEX(Tarifa!$D$13:$D$512,$J56)))</f>
        <v/>
      </c>
      <c r="F56" s="41">
        <f>IF(OR($J56="",$J$1=""),"",IF(INDEX(Tarifa!$G$13:$G$512,$J56)="","",IF(NOT(ISNUMBER(INDEX(Tarifa!$G$13:$G$512,$J56))),"Revisa",IF($J$1=1,INDEX(Tarifa!$G$13:$G$512,$J56),ROUND(ROUND(INDEX(Tarifa!$G$13:$G$512,$J56)*(1+$J$2/100)/$J$3,0)*$J$3,2)))))</f>
        <v/>
      </c>
      <c r="G56" s="42">
        <f>IF(OR(NOT(ISNUMBER(F56)),N(E56)&lt;=1),"",ROUND(F56/E56,3))</f>
        <v/>
      </c>
      <c r="H56" s="43">
        <f>IF($J56="","",IF(INDEX(Tarifa!$H$13:$H$512,$J56)="","",INDEX(Tarifa!$H$13:$H$512,$J56)))</f>
        <v/>
      </c>
      <c r="I56" s="41">
        <f>IF(OR($M$3="No",$M$3="",NOT(ISNUMBER(F56))),"",IF(NOT(ISNUMBER(H56)),"Falta IVA",ROUND(F56*(1+(H56+IF($M$3="Con IVA y recargo",IF(H56=21,5.2,IF(H56=10,1.4,IF(H56=4,0.5,0))),0))/100),2)))</f>
        <v/>
      </c>
      <c r="J56">
        <f>IFERROR(MATCH(46,Tarifa!$O$13:$O$512,0),"")</f>
        <v/>
      </c>
    </row>
    <row r="57" ht="17" customHeight="1">
      <c r="A57" s="38">
        <f>IF($J57="","",IFERROR(IF(INDEX(Tarifa!$E$13:$E$512,$J57)&amp;""=INDEX(Tarifa!$E$13:$E$512,$J56)&amp;"","",INDEX(Tarifa!$E$13:$E$512,$J57)&amp;""),""))</f>
        <v/>
      </c>
      <c r="B57" s="39">
        <f>IF($J57="","",INDEX(Tarifa!$A$13:$A$512,$J57)&amp;"")</f>
        <v/>
      </c>
      <c r="C57" s="39">
        <f>IF($J57="","",INDEX(Tarifa!$B$13:$B$512,$J57)&amp;"")</f>
        <v/>
      </c>
      <c r="D57" s="39">
        <f>IF($J57="","",INDEX(Tarifa!$C$13:$C$512,$J57)&amp;"")</f>
        <v/>
      </c>
      <c r="E57" s="40">
        <f>IF($J57="","",IF(INDEX(Tarifa!$D$13:$D$512,$J57)="","",INDEX(Tarifa!$D$13:$D$512,$J57)))</f>
        <v/>
      </c>
      <c r="F57" s="41">
        <f>IF(OR($J57="",$J$1=""),"",IF(INDEX(Tarifa!$G$13:$G$512,$J57)="","",IF(NOT(ISNUMBER(INDEX(Tarifa!$G$13:$G$512,$J57))),"Revisa",IF($J$1=1,INDEX(Tarifa!$G$13:$G$512,$J57),ROUND(ROUND(INDEX(Tarifa!$G$13:$G$512,$J57)*(1+$J$2/100)/$J$3,0)*$J$3,2)))))</f>
        <v/>
      </c>
      <c r="G57" s="42">
        <f>IF(OR(NOT(ISNUMBER(F57)),N(E57)&lt;=1),"",ROUND(F57/E57,3))</f>
        <v/>
      </c>
      <c r="H57" s="43">
        <f>IF($J57="","",IF(INDEX(Tarifa!$H$13:$H$512,$J57)="","",INDEX(Tarifa!$H$13:$H$512,$J57)))</f>
        <v/>
      </c>
      <c r="I57" s="41">
        <f>IF(OR($M$3="No",$M$3="",NOT(ISNUMBER(F57))),"",IF(NOT(ISNUMBER(H57)),"Falta IVA",ROUND(F57*(1+(H57+IF($M$3="Con IVA y recargo",IF(H57=21,5.2,IF(H57=10,1.4,IF(H57=4,0.5,0))),0))/100),2)))</f>
        <v/>
      </c>
      <c r="J57">
        <f>IFERROR(MATCH(47,Tarifa!$O$13:$O$512,0),"")</f>
        <v/>
      </c>
    </row>
    <row r="58" ht="17" customHeight="1">
      <c r="A58" s="38">
        <f>IF($J58="","",IFERROR(IF(INDEX(Tarifa!$E$13:$E$512,$J58)&amp;""=INDEX(Tarifa!$E$13:$E$512,$J57)&amp;"","",INDEX(Tarifa!$E$13:$E$512,$J58)&amp;""),""))</f>
        <v/>
      </c>
      <c r="B58" s="39">
        <f>IF($J58="","",INDEX(Tarifa!$A$13:$A$512,$J58)&amp;"")</f>
        <v/>
      </c>
      <c r="C58" s="39">
        <f>IF($J58="","",INDEX(Tarifa!$B$13:$B$512,$J58)&amp;"")</f>
        <v/>
      </c>
      <c r="D58" s="39">
        <f>IF($J58="","",INDEX(Tarifa!$C$13:$C$512,$J58)&amp;"")</f>
        <v/>
      </c>
      <c r="E58" s="40">
        <f>IF($J58="","",IF(INDEX(Tarifa!$D$13:$D$512,$J58)="","",INDEX(Tarifa!$D$13:$D$512,$J58)))</f>
        <v/>
      </c>
      <c r="F58" s="41">
        <f>IF(OR($J58="",$J$1=""),"",IF(INDEX(Tarifa!$G$13:$G$512,$J58)="","",IF(NOT(ISNUMBER(INDEX(Tarifa!$G$13:$G$512,$J58))),"Revisa",IF($J$1=1,INDEX(Tarifa!$G$13:$G$512,$J58),ROUND(ROUND(INDEX(Tarifa!$G$13:$G$512,$J58)*(1+$J$2/100)/$J$3,0)*$J$3,2)))))</f>
        <v/>
      </c>
      <c r="G58" s="42">
        <f>IF(OR(NOT(ISNUMBER(F58)),N(E58)&lt;=1),"",ROUND(F58/E58,3))</f>
        <v/>
      </c>
      <c r="H58" s="43">
        <f>IF($J58="","",IF(INDEX(Tarifa!$H$13:$H$512,$J58)="","",INDEX(Tarifa!$H$13:$H$512,$J58)))</f>
        <v/>
      </c>
      <c r="I58" s="41">
        <f>IF(OR($M$3="No",$M$3="",NOT(ISNUMBER(F58))),"",IF(NOT(ISNUMBER(H58)),"Falta IVA",ROUND(F58*(1+(H58+IF($M$3="Con IVA y recargo",IF(H58=21,5.2,IF(H58=10,1.4,IF(H58=4,0.5,0))),0))/100),2)))</f>
        <v/>
      </c>
      <c r="J58">
        <f>IFERROR(MATCH(48,Tarifa!$O$13:$O$512,0),"")</f>
        <v/>
      </c>
    </row>
    <row r="59" ht="17" customHeight="1">
      <c r="A59" s="38">
        <f>IF($J59="","",IFERROR(IF(INDEX(Tarifa!$E$13:$E$512,$J59)&amp;""=INDEX(Tarifa!$E$13:$E$512,$J58)&amp;"","",INDEX(Tarifa!$E$13:$E$512,$J59)&amp;""),""))</f>
        <v/>
      </c>
      <c r="B59" s="39">
        <f>IF($J59="","",INDEX(Tarifa!$A$13:$A$512,$J59)&amp;"")</f>
        <v/>
      </c>
      <c r="C59" s="39">
        <f>IF($J59="","",INDEX(Tarifa!$B$13:$B$512,$J59)&amp;"")</f>
        <v/>
      </c>
      <c r="D59" s="39">
        <f>IF($J59="","",INDEX(Tarifa!$C$13:$C$512,$J59)&amp;"")</f>
        <v/>
      </c>
      <c r="E59" s="40">
        <f>IF($J59="","",IF(INDEX(Tarifa!$D$13:$D$512,$J59)="","",INDEX(Tarifa!$D$13:$D$512,$J59)))</f>
        <v/>
      </c>
      <c r="F59" s="41">
        <f>IF(OR($J59="",$J$1=""),"",IF(INDEX(Tarifa!$G$13:$G$512,$J59)="","",IF(NOT(ISNUMBER(INDEX(Tarifa!$G$13:$G$512,$J59))),"Revisa",IF($J$1=1,INDEX(Tarifa!$G$13:$G$512,$J59),ROUND(ROUND(INDEX(Tarifa!$G$13:$G$512,$J59)*(1+$J$2/100)/$J$3,0)*$J$3,2)))))</f>
        <v/>
      </c>
      <c r="G59" s="42">
        <f>IF(OR(NOT(ISNUMBER(F59)),N(E59)&lt;=1),"",ROUND(F59/E59,3))</f>
        <v/>
      </c>
      <c r="H59" s="43">
        <f>IF($J59="","",IF(INDEX(Tarifa!$H$13:$H$512,$J59)="","",INDEX(Tarifa!$H$13:$H$512,$J59)))</f>
        <v/>
      </c>
      <c r="I59" s="41">
        <f>IF(OR($M$3="No",$M$3="",NOT(ISNUMBER(F59))),"",IF(NOT(ISNUMBER(H59)),"Falta IVA",ROUND(F59*(1+(H59+IF($M$3="Con IVA y recargo",IF(H59=21,5.2,IF(H59=10,1.4,IF(H59=4,0.5,0))),0))/100),2)))</f>
        <v/>
      </c>
      <c r="J59">
        <f>IFERROR(MATCH(49,Tarifa!$O$13:$O$512,0),"")</f>
        <v/>
      </c>
    </row>
    <row r="60" ht="17" customHeight="1">
      <c r="A60" s="38">
        <f>IF($J60="","",IFERROR(IF(INDEX(Tarifa!$E$13:$E$512,$J60)&amp;""=INDEX(Tarifa!$E$13:$E$512,$J59)&amp;"","",INDEX(Tarifa!$E$13:$E$512,$J60)&amp;""),""))</f>
        <v/>
      </c>
      <c r="B60" s="39">
        <f>IF($J60="","",INDEX(Tarifa!$A$13:$A$512,$J60)&amp;"")</f>
        <v/>
      </c>
      <c r="C60" s="39">
        <f>IF($J60="","",INDEX(Tarifa!$B$13:$B$512,$J60)&amp;"")</f>
        <v/>
      </c>
      <c r="D60" s="39">
        <f>IF($J60="","",INDEX(Tarifa!$C$13:$C$512,$J60)&amp;"")</f>
        <v/>
      </c>
      <c r="E60" s="40">
        <f>IF($J60="","",IF(INDEX(Tarifa!$D$13:$D$512,$J60)="","",INDEX(Tarifa!$D$13:$D$512,$J60)))</f>
        <v/>
      </c>
      <c r="F60" s="41">
        <f>IF(OR($J60="",$J$1=""),"",IF(INDEX(Tarifa!$G$13:$G$512,$J60)="","",IF(NOT(ISNUMBER(INDEX(Tarifa!$G$13:$G$512,$J60))),"Revisa",IF($J$1=1,INDEX(Tarifa!$G$13:$G$512,$J60),ROUND(ROUND(INDEX(Tarifa!$G$13:$G$512,$J60)*(1+$J$2/100)/$J$3,0)*$J$3,2)))))</f>
        <v/>
      </c>
      <c r="G60" s="42">
        <f>IF(OR(NOT(ISNUMBER(F60)),N(E60)&lt;=1),"",ROUND(F60/E60,3))</f>
        <v/>
      </c>
      <c r="H60" s="43">
        <f>IF($J60="","",IF(INDEX(Tarifa!$H$13:$H$512,$J60)="","",INDEX(Tarifa!$H$13:$H$512,$J60)))</f>
        <v/>
      </c>
      <c r="I60" s="41">
        <f>IF(OR($M$3="No",$M$3="",NOT(ISNUMBER(F60))),"",IF(NOT(ISNUMBER(H60)),"Falta IVA",ROUND(F60*(1+(H60+IF($M$3="Con IVA y recargo",IF(H60=21,5.2,IF(H60=10,1.4,IF(H60=4,0.5,0))),0))/100),2)))</f>
        <v/>
      </c>
      <c r="J60">
        <f>IFERROR(MATCH(50,Tarifa!$O$13:$O$512,0),"")</f>
        <v/>
      </c>
    </row>
    <row r="61" ht="17" customHeight="1">
      <c r="A61" s="38">
        <f>IF($J61="","",IFERROR(IF(INDEX(Tarifa!$E$13:$E$512,$J61)&amp;""=INDEX(Tarifa!$E$13:$E$512,$J60)&amp;"","",INDEX(Tarifa!$E$13:$E$512,$J61)&amp;""),""))</f>
        <v/>
      </c>
      <c r="B61" s="39">
        <f>IF($J61="","",INDEX(Tarifa!$A$13:$A$512,$J61)&amp;"")</f>
        <v/>
      </c>
      <c r="C61" s="39">
        <f>IF($J61="","",INDEX(Tarifa!$B$13:$B$512,$J61)&amp;"")</f>
        <v/>
      </c>
      <c r="D61" s="39">
        <f>IF($J61="","",INDEX(Tarifa!$C$13:$C$512,$J61)&amp;"")</f>
        <v/>
      </c>
      <c r="E61" s="40">
        <f>IF($J61="","",IF(INDEX(Tarifa!$D$13:$D$512,$J61)="","",INDEX(Tarifa!$D$13:$D$512,$J61)))</f>
        <v/>
      </c>
      <c r="F61" s="41">
        <f>IF(OR($J61="",$J$1=""),"",IF(INDEX(Tarifa!$G$13:$G$512,$J61)="","",IF(NOT(ISNUMBER(INDEX(Tarifa!$G$13:$G$512,$J61))),"Revisa",IF($J$1=1,INDEX(Tarifa!$G$13:$G$512,$J61),ROUND(ROUND(INDEX(Tarifa!$G$13:$G$512,$J61)*(1+$J$2/100)/$J$3,0)*$J$3,2)))))</f>
        <v/>
      </c>
      <c r="G61" s="42">
        <f>IF(OR(NOT(ISNUMBER(F61)),N(E61)&lt;=1),"",ROUND(F61/E61,3))</f>
        <v/>
      </c>
      <c r="H61" s="43">
        <f>IF($J61="","",IF(INDEX(Tarifa!$H$13:$H$512,$J61)="","",INDEX(Tarifa!$H$13:$H$512,$J61)))</f>
        <v/>
      </c>
      <c r="I61" s="41">
        <f>IF(OR($M$3="No",$M$3="",NOT(ISNUMBER(F61))),"",IF(NOT(ISNUMBER(H61)),"Falta IVA",ROUND(F61*(1+(H61+IF($M$3="Con IVA y recargo",IF(H61=21,5.2,IF(H61=10,1.4,IF(H61=4,0.5,0))),0))/100),2)))</f>
        <v/>
      </c>
      <c r="J61">
        <f>IFERROR(MATCH(51,Tarifa!$O$13:$O$512,0),"")</f>
        <v/>
      </c>
    </row>
    <row r="62" ht="17" customHeight="1">
      <c r="A62" s="38">
        <f>IF($J62="","",IFERROR(IF(INDEX(Tarifa!$E$13:$E$512,$J62)&amp;""=INDEX(Tarifa!$E$13:$E$512,$J61)&amp;"","",INDEX(Tarifa!$E$13:$E$512,$J62)&amp;""),""))</f>
        <v/>
      </c>
      <c r="B62" s="39">
        <f>IF($J62="","",INDEX(Tarifa!$A$13:$A$512,$J62)&amp;"")</f>
        <v/>
      </c>
      <c r="C62" s="39">
        <f>IF($J62="","",INDEX(Tarifa!$B$13:$B$512,$J62)&amp;"")</f>
        <v/>
      </c>
      <c r="D62" s="39">
        <f>IF($J62="","",INDEX(Tarifa!$C$13:$C$512,$J62)&amp;"")</f>
        <v/>
      </c>
      <c r="E62" s="40">
        <f>IF($J62="","",IF(INDEX(Tarifa!$D$13:$D$512,$J62)="","",INDEX(Tarifa!$D$13:$D$512,$J62)))</f>
        <v/>
      </c>
      <c r="F62" s="41">
        <f>IF(OR($J62="",$J$1=""),"",IF(INDEX(Tarifa!$G$13:$G$512,$J62)="","",IF(NOT(ISNUMBER(INDEX(Tarifa!$G$13:$G$512,$J62))),"Revisa",IF($J$1=1,INDEX(Tarifa!$G$13:$G$512,$J62),ROUND(ROUND(INDEX(Tarifa!$G$13:$G$512,$J62)*(1+$J$2/100)/$J$3,0)*$J$3,2)))))</f>
        <v/>
      </c>
      <c r="G62" s="42">
        <f>IF(OR(NOT(ISNUMBER(F62)),N(E62)&lt;=1),"",ROUND(F62/E62,3))</f>
        <v/>
      </c>
      <c r="H62" s="43">
        <f>IF($J62="","",IF(INDEX(Tarifa!$H$13:$H$512,$J62)="","",INDEX(Tarifa!$H$13:$H$512,$J62)))</f>
        <v/>
      </c>
      <c r="I62" s="41">
        <f>IF(OR($M$3="No",$M$3="",NOT(ISNUMBER(F62))),"",IF(NOT(ISNUMBER(H62)),"Falta IVA",ROUND(F62*(1+(H62+IF($M$3="Con IVA y recargo",IF(H62=21,5.2,IF(H62=10,1.4,IF(H62=4,0.5,0))),0))/100),2)))</f>
        <v/>
      </c>
      <c r="J62">
        <f>IFERROR(MATCH(52,Tarifa!$O$13:$O$512,0),"")</f>
        <v/>
      </c>
    </row>
    <row r="63" ht="17" customHeight="1">
      <c r="A63" s="38">
        <f>IF($J63="","",IFERROR(IF(INDEX(Tarifa!$E$13:$E$512,$J63)&amp;""=INDEX(Tarifa!$E$13:$E$512,$J62)&amp;"","",INDEX(Tarifa!$E$13:$E$512,$J63)&amp;""),""))</f>
        <v/>
      </c>
      <c r="B63" s="39">
        <f>IF($J63="","",INDEX(Tarifa!$A$13:$A$512,$J63)&amp;"")</f>
        <v/>
      </c>
      <c r="C63" s="39">
        <f>IF($J63="","",INDEX(Tarifa!$B$13:$B$512,$J63)&amp;"")</f>
        <v/>
      </c>
      <c r="D63" s="39">
        <f>IF($J63="","",INDEX(Tarifa!$C$13:$C$512,$J63)&amp;"")</f>
        <v/>
      </c>
      <c r="E63" s="40">
        <f>IF($J63="","",IF(INDEX(Tarifa!$D$13:$D$512,$J63)="","",INDEX(Tarifa!$D$13:$D$512,$J63)))</f>
        <v/>
      </c>
      <c r="F63" s="41">
        <f>IF(OR($J63="",$J$1=""),"",IF(INDEX(Tarifa!$G$13:$G$512,$J63)="","",IF(NOT(ISNUMBER(INDEX(Tarifa!$G$13:$G$512,$J63))),"Revisa",IF($J$1=1,INDEX(Tarifa!$G$13:$G$512,$J63),ROUND(ROUND(INDEX(Tarifa!$G$13:$G$512,$J63)*(1+$J$2/100)/$J$3,0)*$J$3,2)))))</f>
        <v/>
      </c>
      <c r="G63" s="42">
        <f>IF(OR(NOT(ISNUMBER(F63)),N(E63)&lt;=1),"",ROUND(F63/E63,3))</f>
        <v/>
      </c>
      <c r="H63" s="43">
        <f>IF($J63="","",IF(INDEX(Tarifa!$H$13:$H$512,$J63)="","",INDEX(Tarifa!$H$13:$H$512,$J63)))</f>
        <v/>
      </c>
      <c r="I63" s="41">
        <f>IF(OR($M$3="No",$M$3="",NOT(ISNUMBER(F63))),"",IF(NOT(ISNUMBER(H63)),"Falta IVA",ROUND(F63*(1+(H63+IF($M$3="Con IVA y recargo",IF(H63=21,5.2,IF(H63=10,1.4,IF(H63=4,0.5,0))),0))/100),2)))</f>
        <v/>
      </c>
      <c r="J63">
        <f>IFERROR(MATCH(53,Tarifa!$O$13:$O$512,0),"")</f>
        <v/>
      </c>
    </row>
    <row r="64" ht="17" customHeight="1">
      <c r="A64" s="38">
        <f>IF($J64="","",IFERROR(IF(INDEX(Tarifa!$E$13:$E$512,$J64)&amp;""=INDEX(Tarifa!$E$13:$E$512,$J63)&amp;"","",INDEX(Tarifa!$E$13:$E$512,$J64)&amp;""),""))</f>
        <v/>
      </c>
      <c r="B64" s="39">
        <f>IF($J64="","",INDEX(Tarifa!$A$13:$A$512,$J64)&amp;"")</f>
        <v/>
      </c>
      <c r="C64" s="39">
        <f>IF($J64="","",INDEX(Tarifa!$B$13:$B$512,$J64)&amp;"")</f>
        <v/>
      </c>
      <c r="D64" s="39">
        <f>IF($J64="","",INDEX(Tarifa!$C$13:$C$512,$J64)&amp;"")</f>
        <v/>
      </c>
      <c r="E64" s="40">
        <f>IF($J64="","",IF(INDEX(Tarifa!$D$13:$D$512,$J64)="","",INDEX(Tarifa!$D$13:$D$512,$J64)))</f>
        <v/>
      </c>
      <c r="F64" s="41">
        <f>IF(OR($J64="",$J$1=""),"",IF(INDEX(Tarifa!$G$13:$G$512,$J64)="","",IF(NOT(ISNUMBER(INDEX(Tarifa!$G$13:$G$512,$J64))),"Revisa",IF($J$1=1,INDEX(Tarifa!$G$13:$G$512,$J64),ROUND(ROUND(INDEX(Tarifa!$G$13:$G$512,$J64)*(1+$J$2/100)/$J$3,0)*$J$3,2)))))</f>
        <v/>
      </c>
      <c r="G64" s="42">
        <f>IF(OR(NOT(ISNUMBER(F64)),N(E64)&lt;=1),"",ROUND(F64/E64,3))</f>
        <v/>
      </c>
      <c r="H64" s="43">
        <f>IF($J64="","",IF(INDEX(Tarifa!$H$13:$H$512,$J64)="","",INDEX(Tarifa!$H$13:$H$512,$J64)))</f>
        <v/>
      </c>
      <c r="I64" s="41">
        <f>IF(OR($M$3="No",$M$3="",NOT(ISNUMBER(F64))),"",IF(NOT(ISNUMBER(H64)),"Falta IVA",ROUND(F64*(1+(H64+IF($M$3="Con IVA y recargo",IF(H64=21,5.2,IF(H64=10,1.4,IF(H64=4,0.5,0))),0))/100),2)))</f>
        <v/>
      </c>
      <c r="J64">
        <f>IFERROR(MATCH(54,Tarifa!$O$13:$O$512,0),"")</f>
        <v/>
      </c>
    </row>
    <row r="65" ht="17" customHeight="1">
      <c r="A65" s="38">
        <f>IF($J65="","",IFERROR(IF(INDEX(Tarifa!$E$13:$E$512,$J65)&amp;""=INDEX(Tarifa!$E$13:$E$512,$J64)&amp;"","",INDEX(Tarifa!$E$13:$E$512,$J65)&amp;""),""))</f>
        <v/>
      </c>
      <c r="B65" s="39">
        <f>IF($J65="","",INDEX(Tarifa!$A$13:$A$512,$J65)&amp;"")</f>
        <v/>
      </c>
      <c r="C65" s="39">
        <f>IF($J65="","",INDEX(Tarifa!$B$13:$B$512,$J65)&amp;"")</f>
        <v/>
      </c>
      <c r="D65" s="39">
        <f>IF($J65="","",INDEX(Tarifa!$C$13:$C$512,$J65)&amp;"")</f>
        <v/>
      </c>
      <c r="E65" s="40">
        <f>IF($J65="","",IF(INDEX(Tarifa!$D$13:$D$512,$J65)="","",INDEX(Tarifa!$D$13:$D$512,$J65)))</f>
        <v/>
      </c>
      <c r="F65" s="41">
        <f>IF(OR($J65="",$J$1=""),"",IF(INDEX(Tarifa!$G$13:$G$512,$J65)="","",IF(NOT(ISNUMBER(INDEX(Tarifa!$G$13:$G$512,$J65))),"Revisa",IF($J$1=1,INDEX(Tarifa!$G$13:$G$512,$J65),ROUND(ROUND(INDEX(Tarifa!$G$13:$G$512,$J65)*(1+$J$2/100)/$J$3,0)*$J$3,2)))))</f>
        <v/>
      </c>
      <c r="G65" s="42">
        <f>IF(OR(NOT(ISNUMBER(F65)),N(E65)&lt;=1),"",ROUND(F65/E65,3))</f>
        <v/>
      </c>
      <c r="H65" s="43">
        <f>IF($J65="","",IF(INDEX(Tarifa!$H$13:$H$512,$J65)="","",INDEX(Tarifa!$H$13:$H$512,$J65)))</f>
        <v/>
      </c>
      <c r="I65" s="41">
        <f>IF(OR($M$3="No",$M$3="",NOT(ISNUMBER(F65))),"",IF(NOT(ISNUMBER(H65)),"Falta IVA",ROUND(F65*(1+(H65+IF($M$3="Con IVA y recargo",IF(H65=21,5.2,IF(H65=10,1.4,IF(H65=4,0.5,0))),0))/100),2)))</f>
        <v/>
      </c>
      <c r="J65">
        <f>IFERROR(MATCH(55,Tarifa!$O$13:$O$512,0),"")</f>
        <v/>
      </c>
    </row>
    <row r="66" ht="17" customHeight="1">
      <c r="A66" s="38">
        <f>IF($J66="","",IFERROR(IF(INDEX(Tarifa!$E$13:$E$512,$J66)&amp;""=INDEX(Tarifa!$E$13:$E$512,$J65)&amp;"","",INDEX(Tarifa!$E$13:$E$512,$J66)&amp;""),""))</f>
        <v/>
      </c>
      <c r="B66" s="39">
        <f>IF($J66="","",INDEX(Tarifa!$A$13:$A$512,$J66)&amp;"")</f>
        <v/>
      </c>
      <c r="C66" s="39">
        <f>IF($J66="","",INDEX(Tarifa!$B$13:$B$512,$J66)&amp;"")</f>
        <v/>
      </c>
      <c r="D66" s="39">
        <f>IF($J66="","",INDEX(Tarifa!$C$13:$C$512,$J66)&amp;"")</f>
        <v/>
      </c>
      <c r="E66" s="40">
        <f>IF($J66="","",IF(INDEX(Tarifa!$D$13:$D$512,$J66)="","",INDEX(Tarifa!$D$13:$D$512,$J66)))</f>
        <v/>
      </c>
      <c r="F66" s="41">
        <f>IF(OR($J66="",$J$1=""),"",IF(INDEX(Tarifa!$G$13:$G$512,$J66)="","",IF(NOT(ISNUMBER(INDEX(Tarifa!$G$13:$G$512,$J66))),"Revisa",IF($J$1=1,INDEX(Tarifa!$G$13:$G$512,$J66),ROUND(ROUND(INDEX(Tarifa!$G$13:$G$512,$J66)*(1+$J$2/100)/$J$3,0)*$J$3,2)))))</f>
        <v/>
      </c>
      <c r="G66" s="42">
        <f>IF(OR(NOT(ISNUMBER(F66)),N(E66)&lt;=1),"",ROUND(F66/E66,3))</f>
        <v/>
      </c>
      <c r="H66" s="43">
        <f>IF($J66="","",IF(INDEX(Tarifa!$H$13:$H$512,$J66)="","",INDEX(Tarifa!$H$13:$H$512,$J66)))</f>
        <v/>
      </c>
      <c r="I66" s="41">
        <f>IF(OR($M$3="No",$M$3="",NOT(ISNUMBER(F66))),"",IF(NOT(ISNUMBER(H66)),"Falta IVA",ROUND(F66*(1+(H66+IF($M$3="Con IVA y recargo",IF(H66=21,5.2,IF(H66=10,1.4,IF(H66=4,0.5,0))),0))/100),2)))</f>
        <v/>
      </c>
      <c r="J66">
        <f>IFERROR(MATCH(56,Tarifa!$O$13:$O$512,0),"")</f>
        <v/>
      </c>
    </row>
    <row r="67" ht="17" customHeight="1">
      <c r="A67" s="38">
        <f>IF($J67="","",IFERROR(IF(INDEX(Tarifa!$E$13:$E$512,$J67)&amp;""=INDEX(Tarifa!$E$13:$E$512,$J66)&amp;"","",INDEX(Tarifa!$E$13:$E$512,$J67)&amp;""),""))</f>
        <v/>
      </c>
      <c r="B67" s="39">
        <f>IF($J67="","",INDEX(Tarifa!$A$13:$A$512,$J67)&amp;"")</f>
        <v/>
      </c>
      <c r="C67" s="39">
        <f>IF($J67="","",INDEX(Tarifa!$B$13:$B$512,$J67)&amp;"")</f>
        <v/>
      </c>
      <c r="D67" s="39">
        <f>IF($J67="","",INDEX(Tarifa!$C$13:$C$512,$J67)&amp;"")</f>
        <v/>
      </c>
      <c r="E67" s="40">
        <f>IF($J67="","",IF(INDEX(Tarifa!$D$13:$D$512,$J67)="","",INDEX(Tarifa!$D$13:$D$512,$J67)))</f>
        <v/>
      </c>
      <c r="F67" s="41">
        <f>IF(OR($J67="",$J$1=""),"",IF(INDEX(Tarifa!$G$13:$G$512,$J67)="","",IF(NOT(ISNUMBER(INDEX(Tarifa!$G$13:$G$512,$J67))),"Revisa",IF($J$1=1,INDEX(Tarifa!$G$13:$G$512,$J67),ROUND(ROUND(INDEX(Tarifa!$G$13:$G$512,$J67)*(1+$J$2/100)/$J$3,0)*$J$3,2)))))</f>
        <v/>
      </c>
      <c r="G67" s="42">
        <f>IF(OR(NOT(ISNUMBER(F67)),N(E67)&lt;=1),"",ROUND(F67/E67,3))</f>
        <v/>
      </c>
      <c r="H67" s="43">
        <f>IF($J67="","",IF(INDEX(Tarifa!$H$13:$H$512,$J67)="","",INDEX(Tarifa!$H$13:$H$512,$J67)))</f>
        <v/>
      </c>
      <c r="I67" s="41">
        <f>IF(OR($M$3="No",$M$3="",NOT(ISNUMBER(F67))),"",IF(NOT(ISNUMBER(H67)),"Falta IVA",ROUND(F67*(1+(H67+IF($M$3="Con IVA y recargo",IF(H67=21,5.2,IF(H67=10,1.4,IF(H67=4,0.5,0))),0))/100),2)))</f>
        <v/>
      </c>
      <c r="J67">
        <f>IFERROR(MATCH(57,Tarifa!$O$13:$O$512,0),"")</f>
        <v/>
      </c>
    </row>
    <row r="68" ht="17" customHeight="1">
      <c r="A68" s="38">
        <f>IF($J68="","",IFERROR(IF(INDEX(Tarifa!$E$13:$E$512,$J68)&amp;""=INDEX(Tarifa!$E$13:$E$512,$J67)&amp;"","",INDEX(Tarifa!$E$13:$E$512,$J68)&amp;""),""))</f>
        <v/>
      </c>
      <c r="B68" s="39">
        <f>IF($J68="","",INDEX(Tarifa!$A$13:$A$512,$J68)&amp;"")</f>
        <v/>
      </c>
      <c r="C68" s="39">
        <f>IF($J68="","",INDEX(Tarifa!$B$13:$B$512,$J68)&amp;"")</f>
        <v/>
      </c>
      <c r="D68" s="39">
        <f>IF($J68="","",INDEX(Tarifa!$C$13:$C$512,$J68)&amp;"")</f>
        <v/>
      </c>
      <c r="E68" s="40">
        <f>IF($J68="","",IF(INDEX(Tarifa!$D$13:$D$512,$J68)="","",INDEX(Tarifa!$D$13:$D$512,$J68)))</f>
        <v/>
      </c>
      <c r="F68" s="41">
        <f>IF(OR($J68="",$J$1=""),"",IF(INDEX(Tarifa!$G$13:$G$512,$J68)="","",IF(NOT(ISNUMBER(INDEX(Tarifa!$G$13:$G$512,$J68))),"Revisa",IF($J$1=1,INDEX(Tarifa!$G$13:$G$512,$J68),ROUND(ROUND(INDEX(Tarifa!$G$13:$G$512,$J68)*(1+$J$2/100)/$J$3,0)*$J$3,2)))))</f>
        <v/>
      </c>
      <c r="G68" s="42">
        <f>IF(OR(NOT(ISNUMBER(F68)),N(E68)&lt;=1),"",ROUND(F68/E68,3))</f>
        <v/>
      </c>
      <c r="H68" s="43">
        <f>IF($J68="","",IF(INDEX(Tarifa!$H$13:$H$512,$J68)="","",INDEX(Tarifa!$H$13:$H$512,$J68)))</f>
        <v/>
      </c>
      <c r="I68" s="41">
        <f>IF(OR($M$3="No",$M$3="",NOT(ISNUMBER(F68))),"",IF(NOT(ISNUMBER(H68)),"Falta IVA",ROUND(F68*(1+(H68+IF($M$3="Con IVA y recargo",IF(H68=21,5.2,IF(H68=10,1.4,IF(H68=4,0.5,0))),0))/100),2)))</f>
        <v/>
      </c>
      <c r="J68">
        <f>IFERROR(MATCH(58,Tarifa!$O$13:$O$512,0),"")</f>
        <v/>
      </c>
    </row>
    <row r="69" ht="17" customHeight="1">
      <c r="A69" s="38">
        <f>IF($J69="","",IFERROR(IF(INDEX(Tarifa!$E$13:$E$512,$J69)&amp;""=INDEX(Tarifa!$E$13:$E$512,$J68)&amp;"","",INDEX(Tarifa!$E$13:$E$512,$J69)&amp;""),""))</f>
        <v/>
      </c>
      <c r="B69" s="39">
        <f>IF($J69="","",INDEX(Tarifa!$A$13:$A$512,$J69)&amp;"")</f>
        <v/>
      </c>
      <c r="C69" s="39">
        <f>IF($J69="","",INDEX(Tarifa!$B$13:$B$512,$J69)&amp;"")</f>
        <v/>
      </c>
      <c r="D69" s="39">
        <f>IF($J69="","",INDEX(Tarifa!$C$13:$C$512,$J69)&amp;"")</f>
        <v/>
      </c>
      <c r="E69" s="40">
        <f>IF($J69="","",IF(INDEX(Tarifa!$D$13:$D$512,$J69)="","",INDEX(Tarifa!$D$13:$D$512,$J69)))</f>
        <v/>
      </c>
      <c r="F69" s="41">
        <f>IF(OR($J69="",$J$1=""),"",IF(INDEX(Tarifa!$G$13:$G$512,$J69)="","",IF(NOT(ISNUMBER(INDEX(Tarifa!$G$13:$G$512,$J69))),"Revisa",IF($J$1=1,INDEX(Tarifa!$G$13:$G$512,$J69),ROUND(ROUND(INDEX(Tarifa!$G$13:$G$512,$J69)*(1+$J$2/100)/$J$3,0)*$J$3,2)))))</f>
        <v/>
      </c>
      <c r="G69" s="42">
        <f>IF(OR(NOT(ISNUMBER(F69)),N(E69)&lt;=1),"",ROUND(F69/E69,3))</f>
        <v/>
      </c>
      <c r="H69" s="43">
        <f>IF($J69="","",IF(INDEX(Tarifa!$H$13:$H$512,$J69)="","",INDEX(Tarifa!$H$13:$H$512,$J69)))</f>
        <v/>
      </c>
      <c r="I69" s="41">
        <f>IF(OR($M$3="No",$M$3="",NOT(ISNUMBER(F69))),"",IF(NOT(ISNUMBER(H69)),"Falta IVA",ROUND(F69*(1+(H69+IF($M$3="Con IVA y recargo",IF(H69=21,5.2,IF(H69=10,1.4,IF(H69=4,0.5,0))),0))/100),2)))</f>
        <v/>
      </c>
      <c r="J69">
        <f>IFERROR(MATCH(59,Tarifa!$O$13:$O$512,0),"")</f>
        <v/>
      </c>
    </row>
    <row r="70" ht="17" customHeight="1">
      <c r="A70" s="38">
        <f>IF($J70="","",IFERROR(IF(INDEX(Tarifa!$E$13:$E$512,$J70)&amp;""=INDEX(Tarifa!$E$13:$E$512,$J69)&amp;"","",INDEX(Tarifa!$E$13:$E$512,$J70)&amp;""),""))</f>
        <v/>
      </c>
      <c r="B70" s="39">
        <f>IF($J70="","",INDEX(Tarifa!$A$13:$A$512,$J70)&amp;"")</f>
        <v/>
      </c>
      <c r="C70" s="39">
        <f>IF($J70="","",INDEX(Tarifa!$B$13:$B$512,$J70)&amp;"")</f>
        <v/>
      </c>
      <c r="D70" s="39">
        <f>IF($J70="","",INDEX(Tarifa!$C$13:$C$512,$J70)&amp;"")</f>
        <v/>
      </c>
      <c r="E70" s="40">
        <f>IF($J70="","",IF(INDEX(Tarifa!$D$13:$D$512,$J70)="","",INDEX(Tarifa!$D$13:$D$512,$J70)))</f>
        <v/>
      </c>
      <c r="F70" s="41">
        <f>IF(OR($J70="",$J$1=""),"",IF(INDEX(Tarifa!$G$13:$G$512,$J70)="","",IF(NOT(ISNUMBER(INDEX(Tarifa!$G$13:$G$512,$J70))),"Revisa",IF($J$1=1,INDEX(Tarifa!$G$13:$G$512,$J70),ROUND(ROUND(INDEX(Tarifa!$G$13:$G$512,$J70)*(1+$J$2/100)/$J$3,0)*$J$3,2)))))</f>
        <v/>
      </c>
      <c r="G70" s="42">
        <f>IF(OR(NOT(ISNUMBER(F70)),N(E70)&lt;=1),"",ROUND(F70/E70,3))</f>
        <v/>
      </c>
      <c r="H70" s="43">
        <f>IF($J70="","",IF(INDEX(Tarifa!$H$13:$H$512,$J70)="","",INDEX(Tarifa!$H$13:$H$512,$J70)))</f>
        <v/>
      </c>
      <c r="I70" s="41">
        <f>IF(OR($M$3="No",$M$3="",NOT(ISNUMBER(F70))),"",IF(NOT(ISNUMBER(H70)),"Falta IVA",ROUND(F70*(1+(H70+IF($M$3="Con IVA y recargo",IF(H70=21,5.2,IF(H70=10,1.4,IF(H70=4,0.5,0))),0))/100),2)))</f>
        <v/>
      </c>
      <c r="J70">
        <f>IFERROR(MATCH(60,Tarifa!$O$13:$O$512,0),"")</f>
        <v/>
      </c>
    </row>
    <row r="71" ht="17" customHeight="1">
      <c r="A71" s="38">
        <f>IF($J71="","",IFERROR(IF(INDEX(Tarifa!$E$13:$E$512,$J71)&amp;""=INDEX(Tarifa!$E$13:$E$512,$J70)&amp;"","",INDEX(Tarifa!$E$13:$E$512,$J71)&amp;""),""))</f>
        <v/>
      </c>
      <c r="B71" s="39">
        <f>IF($J71="","",INDEX(Tarifa!$A$13:$A$512,$J71)&amp;"")</f>
        <v/>
      </c>
      <c r="C71" s="39">
        <f>IF($J71="","",INDEX(Tarifa!$B$13:$B$512,$J71)&amp;"")</f>
        <v/>
      </c>
      <c r="D71" s="39">
        <f>IF($J71="","",INDEX(Tarifa!$C$13:$C$512,$J71)&amp;"")</f>
        <v/>
      </c>
      <c r="E71" s="40">
        <f>IF($J71="","",IF(INDEX(Tarifa!$D$13:$D$512,$J71)="","",INDEX(Tarifa!$D$13:$D$512,$J71)))</f>
        <v/>
      </c>
      <c r="F71" s="41">
        <f>IF(OR($J71="",$J$1=""),"",IF(INDEX(Tarifa!$G$13:$G$512,$J71)="","",IF(NOT(ISNUMBER(INDEX(Tarifa!$G$13:$G$512,$J71))),"Revisa",IF($J$1=1,INDEX(Tarifa!$G$13:$G$512,$J71),ROUND(ROUND(INDEX(Tarifa!$G$13:$G$512,$J71)*(1+$J$2/100)/$J$3,0)*$J$3,2)))))</f>
        <v/>
      </c>
      <c r="G71" s="42">
        <f>IF(OR(NOT(ISNUMBER(F71)),N(E71)&lt;=1),"",ROUND(F71/E71,3))</f>
        <v/>
      </c>
      <c r="H71" s="43">
        <f>IF($J71="","",IF(INDEX(Tarifa!$H$13:$H$512,$J71)="","",INDEX(Tarifa!$H$13:$H$512,$J71)))</f>
        <v/>
      </c>
      <c r="I71" s="41">
        <f>IF(OR($M$3="No",$M$3="",NOT(ISNUMBER(F71))),"",IF(NOT(ISNUMBER(H71)),"Falta IVA",ROUND(F71*(1+(H71+IF($M$3="Con IVA y recargo",IF(H71=21,5.2,IF(H71=10,1.4,IF(H71=4,0.5,0))),0))/100),2)))</f>
        <v/>
      </c>
      <c r="J71">
        <f>IFERROR(MATCH(61,Tarifa!$O$13:$O$512,0),"")</f>
        <v/>
      </c>
    </row>
    <row r="72" ht="17" customHeight="1">
      <c r="A72" s="38">
        <f>IF($J72="","",IFERROR(IF(INDEX(Tarifa!$E$13:$E$512,$J72)&amp;""=INDEX(Tarifa!$E$13:$E$512,$J71)&amp;"","",INDEX(Tarifa!$E$13:$E$512,$J72)&amp;""),""))</f>
        <v/>
      </c>
      <c r="B72" s="39">
        <f>IF($J72="","",INDEX(Tarifa!$A$13:$A$512,$J72)&amp;"")</f>
        <v/>
      </c>
      <c r="C72" s="39">
        <f>IF($J72="","",INDEX(Tarifa!$B$13:$B$512,$J72)&amp;"")</f>
        <v/>
      </c>
      <c r="D72" s="39">
        <f>IF($J72="","",INDEX(Tarifa!$C$13:$C$512,$J72)&amp;"")</f>
        <v/>
      </c>
      <c r="E72" s="40">
        <f>IF($J72="","",IF(INDEX(Tarifa!$D$13:$D$512,$J72)="","",INDEX(Tarifa!$D$13:$D$512,$J72)))</f>
        <v/>
      </c>
      <c r="F72" s="41">
        <f>IF(OR($J72="",$J$1=""),"",IF(INDEX(Tarifa!$G$13:$G$512,$J72)="","",IF(NOT(ISNUMBER(INDEX(Tarifa!$G$13:$G$512,$J72))),"Revisa",IF($J$1=1,INDEX(Tarifa!$G$13:$G$512,$J72),ROUND(ROUND(INDEX(Tarifa!$G$13:$G$512,$J72)*(1+$J$2/100)/$J$3,0)*$J$3,2)))))</f>
        <v/>
      </c>
      <c r="G72" s="42">
        <f>IF(OR(NOT(ISNUMBER(F72)),N(E72)&lt;=1),"",ROUND(F72/E72,3))</f>
        <v/>
      </c>
      <c r="H72" s="43">
        <f>IF($J72="","",IF(INDEX(Tarifa!$H$13:$H$512,$J72)="","",INDEX(Tarifa!$H$13:$H$512,$J72)))</f>
        <v/>
      </c>
      <c r="I72" s="41">
        <f>IF(OR($M$3="No",$M$3="",NOT(ISNUMBER(F72))),"",IF(NOT(ISNUMBER(H72)),"Falta IVA",ROUND(F72*(1+(H72+IF($M$3="Con IVA y recargo",IF(H72=21,5.2,IF(H72=10,1.4,IF(H72=4,0.5,0))),0))/100),2)))</f>
        <v/>
      </c>
      <c r="J72">
        <f>IFERROR(MATCH(62,Tarifa!$O$13:$O$512,0),"")</f>
        <v/>
      </c>
    </row>
    <row r="73" ht="17" customHeight="1">
      <c r="A73" s="38">
        <f>IF($J73="","",IFERROR(IF(INDEX(Tarifa!$E$13:$E$512,$J73)&amp;""=INDEX(Tarifa!$E$13:$E$512,$J72)&amp;"","",INDEX(Tarifa!$E$13:$E$512,$J73)&amp;""),""))</f>
        <v/>
      </c>
      <c r="B73" s="39">
        <f>IF($J73="","",INDEX(Tarifa!$A$13:$A$512,$J73)&amp;"")</f>
        <v/>
      </c>
      <c r="C73" s="39">
        <f>IF($J73="","",INDEX(Tarifa!$B$13:$B$512,$J73)&amp;"")</f>
        <v/>
      </c>
      <c r="D73" s="39">
        <f>IF($J73="","",INDEX(Tarifa!$C$13:$C$512,$J73)&amp;"")</f>
        <v/>
      </c>
      <c r="E73" s="40">
        <f>IF($J73="","",IF(INDEX(Tarifa!$D$13:$D$512,$J73)="","",INDEX(Tarifa!$D$13:$D$512,$J73)))</f>
        <v/>
      </c>
      <c r="F73" s="41">
        <f>IF(OR($J73="",$J$1=""),"",IF(INDEX(Tarifa!$G$13:$G$512,$J73)="","",IF(NOT(ISNUMBER(INDEX(Tarifa!$G$13:$G$512,$J73))),"Revisa",IF($J$1=1,INDEX(Tarifa!$G$13:$G$512,$J73),ROUND(ROUND(INDEX(Tarifa!$G$13:$G$512,$J73)*(1+$J$2/100)/$J$3,0)*$J$3,2)))))</f>
        <v/>
      </c>
      <c r="G73" s="42">
        <f>IF(OR(NOT(ISNUMBER(F73)),N(E73)&lt;=1),"",ROUND(F73/E73,3))</f>
        <v/>
      </c>
      <c r="H73" s="43">
        <f>IF($J73="","",IF(INDEX(Tarifa!$H$13:$H$512,$J73)="","",INDEX(Tarifa!$H$13:$H$512,$J73)))</f>
        <v/>
      </c>
      <c r="I73" s="41">
        <f>IF(OR($M$3="No",$M$3="",NOT(ISNUMBER(F73))),"",IF(NOT(ISNUMBER(H73)),"Falta IVA",ROUND(F73*(1+(H73+IF($M$3="Con IVA y recargo",IF(H73=21,5.2,IF(H73=10,1.4,IF(H73=4,0.5,0))),0))/100),2)))</f>
        <v/>
      </c>
      <c r="J73">
        <f>IFERROR(MATCH(63,Tarifa!$O$13:$O$512,0),"")</f>
        <v/>
      </c>
    </row>
    <row r="74" ht="17" customHeight="1">
      <c r="A74" s="38">
        <f>IF($J74="","",IFERROR(IF(INDEX(Tarifa!$E$13:$E$512,$J74)&amp;""=INDEX(Tarifa!$E$13:$E$512,$J73)&amp;"","",INDEX(Tarifa!$E$13:$E$512,$J74)&amp;""),""))</f>
        <v/>
      </c>
      <c r="B74" s="39">
        <f>IF($J74="","",INDEX(Tarifa!$A$13:$A$512,$J74)&amp;"")</f>
        <v/>
      </c>
      <c r="C74" s="39">
        <f>IF($J74="","",INDEX(Tarifa!$B$13:$B$512,$J74)&amp;"")</f>
        <v/>
      </c>
      <c r="D74" s="39">
        <f>IF($J74="","",INDEX(Tarifa!$C$13:$C$512,$J74)&amp;"")</f>
        <v/>
      </c>
      <c r="E74" s="40">
        <f>IF($J74="","",IF(INDEX(Tarifa!$D$13:$D$512,$J74)="","",INDEX(Tarifa!$D$13:$D$512,$J74)))</f>
        <v/>
      </c>
      <c r="F74" s="41">
        <f>IF(OR($J74="",$J$1=""),"",IF(INDEX(Tarifa!$G$13:$G$512,$J74)="","",IF(NOT(ISNUMBER(INDEX(Tarifa!$G$13:$G$512,$J74))),"Revisa",IF($J$1=1,INDEX(Tarifa!$G$13:$G$512,$J74),ROUND(ROUND(INDEX(Tarifa!$G$13:$G$512,$J74)*(1+$J$2/100)/$J$3,0)*$J$3,2)))))</f>
        <v/>
      </c>
      <c r="G74" s="42">
        <f>IF(OR(NOT(ISNUMBER(F74)),N(E74)&lt;=1),"",ROUND(F74/E74,3))</f>
        <v/>
      </c>
      <c r="H74" s="43">
        <f>IF($J74="","",IF(INDEX(Tarifa!$H$13:$H$512,$J74)="","",INDEX(Tarifa!$H$13:$H$512,$J74)))</f>
        <v/>
      </c>
      <c r="I74" s="41">
        <f>IF(OR($M$3="No",$M$3="",NOT(ISNUMBER(F74))),"",IF(NOT(ISNUMBER(H74)),"Falta IVA",ROUND(F74*(1+(H74+IF($M$3="Con IVA y recargo",IF(H74=21,5.2,IF(H74=10,1.4,IF(H74=4,0.5,0))),0))/100),2)))</f>
        <v/>
      </c>
      <c r="J74">
        <f>IFERROR(MATCH(64,Tarifa!$O$13:$O$512,0),"")</f>
        <v/>
      </c>
    </row>
    <row r="75" ht="17" customHeight="1">
      <c r="A75" s="38">
        <f>IF($J75="","",IFERROR(IF(INDEX(Tarifa!$E$13:$E$512,$J75)&amp;""=INDEX(Tarifa!$E$13:$E$512,$J74)&amp;"","",INDEX(Tarifa!$E$13:$E$512,$J75)&amp;""),""))</f>
        <v/>
      </c>
      <c r="B75" s="39">
        <f>IF($J75="","",INDEX(Tarifa!$A$13:$A$512,$J75)&amp;"")</f>
        <v/>
      </c>
      <c r="C75" s="39">
        <f>IF($J75="","",INDEX(Tarifa!$B$13:$B$512,$J75)&amp;"")</f>
        <v/>
      </c>
      <c r="D75" s="39">
        <f>IF($J75="","",INDEX(Tarifa!$C$13:$C$512,$J75)&amp;"")</f>
        <v/>
      </c>
      <c r="E75" s="40">
        <f>IF($J75="","",IF(INDEX(Tarifa!$D$13:$D$512,$J75)="","",INDEX(Tarifa!$D$13:$D$512,$J75)))</f>
        <v/>
      </c>
      <c r="F75" s="41">
        <f>IF(OR($J75="",$J$1=""),"",IF(INDEX(Tarifa!$G$13:$G$512,$J75)="","",IF(NOT(ISNUMBER(INDEX(Tarifa!$G$13:$G$512,$J75))),"Revisa",IF($J$1=1,INDEX(Tarifa!$G$13:$G$512,$J75),ROUND(ROUND(INDEX(Tarifa!$G$13:$G$512,$J75)*(1+$J$2/100)/$J$3,0)*$J$3,2)))))</f>
        <v/>
      </c>
      <c r="G75" s="42">
        <f>IF(OR(NOT(ISNUMBER(F75)),N(E75)&lt;=1),"",ROUND(F75/E75,3))</f>
        <v/>
      </c>
      <c r="H75" s="43">
        <f>IF($J75="","",IF(INDEX(Tarifa!$H$13:$H$512,$J75)="","",INDEX(Tarifa!$H$13:$H$512,$J75)))</f>
        <v/>
      </c>
      <c r="I75" s="41">
        <f>IF(OR($M$3="No",$M$3="",NOT(ISNUMBER(F75))),"",IF(NOT(ISNUMBER(H75)),"Falta IVA",ROUND(F75*(1+(H75+IF($M$3="Con IVA y recargo",IF(H75=21,5.2,IF(H75=10,1.4,IF(H75=4,0.5,0))),0))/100),2)))</f>
        <v/>
      </c>
      <c r="J75">
        <f>IFERROR(MATCH(65,Tarifa!$O$13:$O$512,0),"")</f>
        <v/>
      </c>
    </row>
    <row r="76" ht="17" customHeight="1">
      <c r="A76" s="38">
        <f>IF($J76="","",IFERROR(IF(INDEX(Tarifa!$E$13:$E$512,$J76)&amp;""=INDEX(Tarifa!$E$13:$E$512,$J75)&amp;"","",INDEX(Tarifa!$E$13:$E$512,$J76)&amp;""),""))</f>
        <v/>
      </c>
      <c r="B76" s="39">
        <f>IF($J76="","",INDEX(Tarifa!$A$13:$A$512,$J76)&amp;"")</f>
        <v/>
      </c>
      <c r="C76" s="39">
        <f>IF($J76="","",INDEX(Tarifa!$B$13:$B$512,$J76)&amp;"")</f>
        <v/>
      </c>
      <c r="D76" s="39">
        <f>IF($J76="","",INDEX(Tarifa!$C$13:$C$512,$J76)&amp;"")</f>
        <v/>
      </c>
      <c r="E76" s="40">
        <f>IF($J76="","",IF(INDEX(Tarifa!$D$13:$D$512,$J76)="","",INDEX(Tarifa!$D$13:$D$512,$J76)))</f>
        <v/>
      </c>
      <c r="F76" s="41">
        <f>IF(OR($J76="",$J$1=""),"",IF(INDEX(Tarifa!$G$13:$G$512,$J76)="","",IF(NOT(ISNUMBER(INDEX(Tarifa!$G$13:$G$512,$J76))),"Revisa",IF($J$1=1,INDEX(Tarifa!$G$13:$G$512,$J76),ROUND(ROUND(INDEX(Tarifa!$G$13:$G$512,$J76)*(1+$J$2/100)/$J$3,0)*$J$3,2)))))</f>
        <v/>
      </c>
      <c r="G76" s="42">
        <f>IF(OR(NOT(ISNUMBER(F76)),N(E76)&lt;=1),"",ROUND(F76/E76,3))</f>
        <v/>
      </c>
      <c r="H76" s="43">
        <f>IF($J76="","",IF(INDEX(Tarifa!$H$13:$H$512,$J76)="","",INDEX(Tarifa!$H$13:$H$512,$J76)))</f>
        <v/>
      </c>
      <c r="I76" s="41">
        <f>IF(OR($M$3="No",$M$3="",NOT(ISNUMBER(F76))),"",IF(NOT(ISNUMBER(H76)),"Falta IVA",ROUND(F76*(1+(H76+IF($M$3="Con IVA y recargo",IF(H76=21,5.2,IF(H76=10,1.4,IF(H76=4,0.5,0))),0))/100),2)))</f>
        <v/>
      </c>
      <c r="J76">
        <f>IFERROR(MATCH(66,Tarifa!$O$13:$O$512,0),"")</f>
        <v/>
      </c>
    </row>
    <row r="77" ht="17" customHeight="1">
      <c r="A77" s="38">
        <f>IF($J77="","",IFERROR(IF(INDEX(Tarifa!$E$13:$E$512,$J77)&amp;""=INDEX(Tarifa!$E$13:$E$512,$J76)&amp;"","",INDEX(Tarifa!$E$13:$E$512,$J77)&amp;""),""))</f>
        <v/>
      </c>
      <c r="B77" s="39">
        <f>IF($J77="","",INDEX(Tarifa!$A$13:$A$512,$J77)&amp;"")</f>
        <v/>
      </c>
      <c r="C77" s="39">
        <f>IF($J77="","",INDEX(Tarifa!$B$13:$B$512,$J77)&amp;"")</f>
        <v/>
      </c>
      <c r="D77" s="39">
        <f>IF($J77="","",INDEX(Tarifa!$C$13:$C$512,$J77)&amp;"")</f>
        <v/>
      </c>
      <c r="E77" s="40">
        <f>IF($J77="","",IF(INDEX(Tarifa!$D$13:$D$512,$J77)="","",INDEX(Tarifa!$D$13:$D$512,$J77)))</f>
        <v/>
      </c>
      <c r="F77" s="41">
        <f>IF(OR($J77="",$J$1=""),"",IF(INDEX(Tarifa!$G$13:$G$512,$J77)="","",IF(NOT(ISNUMBER(INDEX(Tarifa!$G$13:$G$512,$J77))),"Revisa",IF($J$1=1,INDEX(Tarifa!$G$13:$G$512,$J77),ROUND(ROUND(INDEX(Tarifa!$G$13:$G$512,$J77)*(1+$J$2/100)/$J$3,0)*$J$3,2)))))</f>
        <v/>
      </c>
      <c r="G77" s="42">
        <f>IF(OR(NOT(ISNUMBER(F77)),N(E77)&lt;=1),"",ROUND(F77/E77,3))</f>
        <v/>
      </c>
      <c r="H77" s="43">
        <f>IF($J77="","",IF(INDEX(Tarifa!$H$13:$H$512,$J77)="","",INDEX(Tarifa!$H$13:$H$512,$J77)))</f>
        <v/>
      </c>
      <c r="I77" s="41">
        <f>IF(OR($M$3="No",$M$3="",NOT(ISNUMBER(F77))),"",IF(NOT(ISNUMBER(H77)),"Falta IVA",ROUND(F77*(1+(H77+IF($M$3="Con IVA y recargo",IF(H77=21,5.2,IF(H77=10,1.4,IF(H77=4,0.5,0))),0))/100),2)))</f>
        <v/>
      </c>
      <c r="J77">
        <f>IFERROR(MATCH(67,Tarifa!$O$13:$O$512,0),"")</f>
        <v/>
      </c>
    </row>
    <row r="78" ht="17" customHeight="1">
      <c r="A78" s="38">
        <f>IF($J78="","",IFERROR(IF(INDEX(Tarifa!$E$13:$E$512,$J78)&amp;""=INDEX(Tarifa!$E$13:$E$512,$J77)&amp;"","",INDEX(Tarifa!$E$13:$E$512,$J78)&amp;""),""))</f>
        <v/>
      </c>
      <c r="B78" s="39">
        <f>IF($J78="","",INDEX(Tarifa!$A$13:$A$512,$J78)&amp;"")</f>
        <v/>
      </c>
      <c r="C78" s="39">
        <f>IF($J78="","",INDEX(Tarifa!$B$13:$B$512,$J78)&amp;"")</f>
        <v/>
      </c>
      <c r="D78" s="39">
        <f>IF($J78="","",INDEX(Tarifa!$C$13:$C$512,$J78)&amp;"")</f>
        <v/>
      </c>
      <c r="E78" s="40">
        <f>IF($J78="","",IF(INDEX(Tarifa!$D$13:$D$512,$J78)="","",INDEX(Tarifa!$D$13:$D$512,$J78)))</f>
        <v/>
      </c>
      <c r="F78" s="41">
        <f>IF(OR($J78="",$J$1=""),"",IF(INDEX(Tarifa!$G$13:$G$512,$J78)="","",IF(NOT(ISNUMBER(INDEX(Tarifa!$G$13:$G$512,$J78))),"Revisa",IF($J$1=1,INDEX(Tarifa!$G$13:$G$512,$J78),ROUND(ROUND(INDEX(Tarifa!$G$13:$G$512,$J78)*(1+$J$2/100)/$J$3,0)*$J$3,2)))))</f>
        <v/>
      </c>
      <c r="G78" s="42">
        <f>IF(OR(NOT(ISNUMBER(F78)),N(E78)&lt;=1),"",ROUND(F78/E78,3))</f>
        <v/>
      </c>
      <c r="H78" s="43">
        <f>IF($J78="","",IF(INDEX(Tarifa!$H$13:$H$512,$J78)="","",INDEX(Tarifa!$H$13:$H$512,$J78)))</f>
        <v/>
      </c>
      <c r="I78" s="41">
        <f>IF(OR($M$3="No",$M$3="",NOT(ISNUMBER(F78))),"",IF(NOT(ISNUMBER(H78)),"Falta IVA",ROUND(F78*(1+(H78+IF($M$3="Con IVA y recargo",IF(H78=21,5.2,IF(H78=10,1.4,IF(H78=4,0.5,0))),0))/100),2)))</f>
        <v/>
      </c>
      <c r="J78">
        <f>IFERROR(MATCH(68,Tarifa!$O$13:$O$512,0),"")</f>
        <v/>
      </c>
    </row>
    <row r="79" ht="17" customHeight="1">
      <c r="A79" s="38">
        <f>IF($J79="","",IFERROR(IF(INDEX(Tarifa!$E$13:$E$512,$J79)&amp;""=INDEX(Tarifa!$E$13:$E$512,$J78)&amp;"","",INDEX(Tarifa!$E$13:$E$512,$J79)&amp;""),""))</f>
        <v/>
      </c>
      <c r="B79" s="39">
        <f>IF($J79="","",INDEX(Tarifa!$A$13:$A$512,$J79)&amp;"")</f>
        <v/>
      </c>
      <c r="C79" s="39">
        <f>IF($J79="","",INDEX(Tarifa!$B$13:$B$512,$J79)&amp;"")</f>
        <v/>
      </c>
      <c r="D79" s="39">
        <f>IF($J79="","",INDEX(Tarifa!$C$13:$C$512,$J79)&amp;"")</f>
        <v/>
      </c>
      <c r="E79" s="40">
        <f>IF($J79="","",IF(INDEX(Tarifa!$D$13:$D$512,$J79)="","",INDEX(Tarifa!$D$13:$D$512,$J79)))</f>
        <v/>
      </c>
      <c r="F79" s="41">
        <f>IF(OR($J79="",$J$1=""),"",IF(INDEX(Tarifa!$G$13:$G$512,$J79)="","",IF(NOT(ISNUMBER(INDEX(Tarifa!$G$13:$G$512,$J79))),"Revisa",IF($J$1=1,INDEX(Tarifa!$G$13:$G$512,$J79),ROUND(ROUND(INDEX(Tarifa!$G$13:$G$512,$J79)*(1+$J$2/100)/$J$3,0)*$J$3,2)))))</f>
        <v/>
      </c>
      <c r="G79" s="42">
        <f>IF(OR(NOT(ISNUMBER(F79)),N(E79)&lt;=1),"",ROUND(F79/E79,3))</f>
        <v/>
      </c>
      <c r="H79" s="43">
        <f>IF($J79="","",IF(INDEX(Tarifa!$H$13:$H$512,$J79)="","",INDEX(Tarifa!$H$13:$H$512,$J79)))</f>
        <v/>
      </c>
      <c r="I79" s="41">
        <f>IF(OR($M$3="No",$M$3="",NOT(ISNUMBER(F79))),"",IF(NOT(ISNUMBER(H79)),"Falta IVA",ROUND(F79*(1+(H79+IF($M$3="Con IVA y recargo",IF(H79=21,5.2,IF(H79=10,1.4,IF(H79=4,0.5,0))),0))/100),2)))</f>
        <v/>
      </c>
      <c r="J79">
        <f>IFERROR(MATCH(69,Tarifa!$O$13:$O$512,0),"")</f>
        <v/>
      </c>
    </row>
    <row r="80" ht="17" customHeight="1">
      <c r="A80" s="38">
        <f>IF($J80="","",IFERROR(IF(INDEX(Tarifa!$E$13:$E$512,$J80)&amp;""=INDEX(Tarifa!$E$13:$E$512,$J79)&amp;"","",INDEX(Tarifa!$E$13:$E$512,$J80)&amp;""),""))</f>
        <v/>
      </c>
      <c r="B80" s="39">
        <f>IF($J80="","",INDEX(Tarifa!$A$13:$A$512,$J80)&amp;"")</f>
        <v/>
      </c>
      <c r="C80" s="39">
        <f>IF($J80="","",INDEX(Tarifa!$B$13:$B$512,$J80)&amp;"")</f>
        <v/>
      </c>
      <c r="D80" s="39">
        <f>IF($J80="","",INDEX(Tarifa!$C$13:$C$512,$J80)&amp;"")</f>
        <v/>
      </c>
      <c r="E80" s="40">
        <f>IF($J80="","",IF(INDEX(Tarifa!$D$13:$D$512,$J80)="","",INDEX(Tarifa!$D$13:$D$512,$J80)))</f>
        <v/>
      </c>
      <c r="F80" s="41">
        <f>IF(OR($J80="",$J$1=""),"",IF(INDEX(Tarifa!$G$13:$G$512,$J80)="","",IF(NOT(ISNUMBER(INDEX(Tarifa!$G$13:$G$512,$J80))),"Revisa",IF($J$1=1,INDEX(Tarifa!$G$13:$G$512,$J80),ROUND(ROUND(INDEX(Tarifa!$G$13:$G$512,$J80)*(1+$J$2/100)/$J$3,0)*$J$3,2)))))</f>
        <v/>
      </c>
      <c r="G80" s="42">
        <f>IF(OR(NOT(ISNUMBER(F80)),N(E80)&lt;=1),"",ROUND(F80/E80,3))</f>
        <v/>
      </c>
      <c r="H80" s="43">
        <f>IF($J80="","",IF(INDEX(Tarifa!$H$13:$H$512,$J80)="","",INDEX(Tarifa!$H$13:$H$512,$J80)))</f>
        <v/>
      </c>
      <c r="I80" s="41">
        <f>IF(OR($M$3="No",$M$3="",NOT(ISNUMBER(F80))),"",IF(NOT(ISNUMBER(H80)),"Falta IVA",ROUND(F80*(1+(H80+IF($M$3="Con IVA y recargo",IF(H80=21,5.2,IF(H80=10,1.4,IF(H80=4,0.5,0))),0))/100),2)))</f>
        <v/>
      </c>
      <c r="J80">
        <f>IFERROR(MATCH(70,Tarifa!$O$13:$O$512,0),"")</f>
        <v/>
      </c>
    </row>
    <row r="81" ht="17" customHeight="1">
      <c r="A81" s="38">
        <f>IF($J81="","",IFERROR(IF(INDEX(Tarifa!$E$13:$E$512,$J81)&amp;""=INDEX(Tarifa!$E$13:$E$512,$J80)&amp;"","",INDEX(Tarifa!$E$13:$E$512,$J81)&amp;""),""))</f>
        <v/>
      </c>
      <c r="B81" s="39">
        <f>IF($J81="","",INDEX(Tarifa!$A$13:$A$512,$J81)&amp;"")</f>
        <v/>
      </c>
      <c r="C81" s="39">
        <f>IF($J81="","",INDEX(Tarifa!$B$13:$B$512,$J81)&amp;"")</f>
        <v/>
      </c>
      <c r="D81" s="39">
        <f>IF($J81="","",INDEX(Tarifa!$C$13:$C$512,$J81)&amp;"")</f>
        <v/>
      </c>
      <c r="E81" s="40">
        <f>IF($J81="","",IF(INDEX(Tarifa!$D$13:$D$512,$J81)="","",INDEX(Tarifa!$D$13:$D$512,$J81)))</f>
        <v/>
      </c>
      <c r="F81" s="41">
        <f>IF(OR($J81="",$J$1=""),"",IF(INDEX(Tarifa!$G$13:$G$512,$J81)="","",IF(NOT(ISNUMBER(INDEX(Tarifa!$G$13:$G$512,$J81))),"Revisa",IF($J$1=1,INDEX(Tarifa!$G$13:$G$512,$J81),ROUND(ROUND(INDEX(Tarifa!$G$13:$G$512,$J81)*(1+$J$2/100)/$J$3,0)*$J$3,2)))))</f>
        <v/>
      </c>
      <c r="G81" s="42">
        <f>IF(OR(NOT(ISNUMBER(F81)),N(E81)&lt;=1),"",ROUND(F81/E81,3))</f>
        <v/>
      </c>
      <c r="H81" s="43">
        <f>IF($J81="","",IF(INDEX(Tarifa!$H$13:$H$512,$J81)="","",INDEX(Tarifa!$H$13:$H$512,$J81)))</f>
        <v/>
      </c>
      <c r="I81" s="41">
        <f>IF(OR($M$3="No",$M$3="",NOT(ISNUMBER(F81))),"",IF(NOT(ISNUMBER(H81)),"Falta IVA",ROUND(F81*(1+(H81+IF($M$3="Con IVA y recargo",IF(H81=21,5.2,IF(H81=10,1.4,IF(H81=4,0.5,0))),0))/100),2)))</f>
        <v/>
      </c>
      <c r="J81">
        <f>IFERROR(MATCH(71,Tarifa!$O$13:$O$512,0),"")</f>
        <v/>
      </c>
    </row>
    <row r="82" ht="17" customHeight="1">
      <c r="A82" s="38">
        <f>IF($J82="","",IFERROR(IF(INDEX(Tarifa!$E$13:$E$512,$J82)&amp;""=INDEX(Tarifa!$E$13:$E$512,$J81)&amp;"","",INDEX(Tarifa!$E$13:$E$512,$J82)&amp;""),""))</f>
        <v/>
      </c>
      <c r="B82" s="39">
        <f>IF($J82="","",INDEX(Tarifa!$A$13:$A$512,$J82)&amp;"")</f>
        <v/>
      </c>
      <c r="C82" s="39">
        <f>IF($J82="","",INDEX(Tarifa!$B$13:$B$512,$J82)&amp;"")</f>
        <v/>
      </c>
      <c r="D82" s="39">
        <f>IF($J82="","",INDEX(Tarifa!$C$13:$C$512,$J82)&amp;"")</f>
        <v/>
      </c>
      <c r="E82" s="40">
        <f>IF($J82="","",IF(INDEX(Tarifa!$D$13:$D$512,$J82)="","",INDEX(Tarifa!$D$13:$D$512,$J82)))</f>
        <v/>
      </c>
      <c r="F82" s="41">
        <f>IF(OR($J82="",$J$1=""),"",IF(INDEX(Tarifa!$G$13:$G$512,$J82)="","",IF(NOT(ISNUMBER(INDEX(Tarifa!$G$13:$G$512,$J82))),"Revisa",IF($J$1=1,INDEX(Tarifa!$G$13:$G$512,$J82),ROUND(ROUND(INDEX(Tarifa!$G$13:$G$512,$J82)*(1+$J$2/100)/$J$3,0)*$J$3,2)))))</f>
        <v/>
      </c>
      <c r="G82" s="42">
        <f>IF(OR(NOT(ISNUMBER(F82)),N(E82)&lt;=1),"",ROUND(F82/E82,3))</f>
        <v/>
      </c>
      <c r="H82" s="43">
        <f>IF($J82="","",IF(INDEX(Tarifa!$H$13:$H$512,$J82)="","",INDEX(Tarifa!$H$13:$H$512,$J82)))</f>
        <v/>
      </c>
      <c r="I82" s="41">
        <f>IF(OR($M$3="No",$M$3="",NOT(ISNUMBER(F82))),"",IF(NOT(ISNUMBER(H82)),"Falta IVA",ROUND(F82*(1+(H82+IF($M$3="Con IVA y recargo",IF(H82=21,5.2,IF(H82=10,1.4,IF(H82=4,0.5,0))),0))/100),2)))</f>
        <v/>
      </c>
      <c r="J82">
        <f>IFERROR(MATCH(72,Tarifa!$O$13:$O$512,0),"")</f>
        <v/>
      </c>
    </row>
    <row r="83" ht="17" customHeight="1">
      <c r="A83" s="38">
        <f>IF($J83="","",IFERROR(IF(INDEX(Tarifa!$E$13:$E$512,$J83)&amp;""=INDEX(Tarifa!$E$13:$E$512,$J82)&amp;"","",INDEX(Tarifa!$E$13:$E$512,$J83)&amp;""),""))</f>
        <v/>
      </c>
      <c r="B83" s="39">
        <f>IF($J83="","",INDEX(Tarifa!$A$13:$A$512,$J83)&amp;"")</f>
        <v/>
      </c>
      <c r="C83" s="39">
        <f>IF($J83="","",INDEX(Tarifa!$B$13:$B$512,$J83)&amp;"")</f>
        <v/>
      </c>
      <c r="D83" s="39">
        <f>IF($J83="","",INDEX(Tarifa!$C$13:$C$512,$J83)&amp;"")</f>
        <v/>
      </c>
      <c r="E83" s="40">
        <f>IF($J83="","",IF(INDEX(Tarifa!$D$13:$D$512,$J83)="","",INDEX(Tarifa!$D$13:$D$512,$J83)))</f>
        <v/>
      </c>
      <c r="F83" s="41">
        <f>IF(OR($J83="",$J$1=""),"",IF(INDEX(Tarifa!$G$13:$G$512,$J83)="","",IF(NOT(ISNUMBER(INDEX(Tarifa!$G$13:$G$512,$J83))),"Revisa",IF($J$1=1,INDEX(Tarifa!$G$13:$G$512,$J83),ROUND(ROUND(INDEX(Tarifa!$G$13:$G$512,$J83)*(1+$J$2/100)/$J$3,0)*$J$3,2)))))</f>
        <v/>
      </c>
      <c r="G83" s="42">
        <f>IF(OR(NOT(ISNUMBER(F83)),N(E83)&lt;=1),"",ROUND(F83/E83,3))</f>
        <v/>
      </c>
      <c r="H83" s="43">
        <f>IF($J83="","",IF(INDEX(Tarifa!$H$13:$H$512,$J83)="","",INDEX(Tarifa!$H$13:$H$512,$J83)))</f>
        <v/>
      </c>
      <c r="I83" s="41">
        <f>IF(OR($M$3="No",$M$3="",NOT(ISNUMBER(F83))),"",IF(NOT(ISNUMBER(H83)),"Falta IVA",ROUND(F83*(1+(H83+IF($M$3="Con IVA y recargo",IF(H83=21,5.2,IF(H83=10,1.4,IF(H83=4,0.5,0))),0))/100),2)))</f>
        <v/>
      </c>
      <c r="J83">
        <f>IFERROR(MATCH(73,Tarifa!$O$13:$O$512,0),"")</f>
        <v/>
      </c>
    </row>
    <row r="84" ht="17" customHeight="1">
      <c r="A84" s="38">
        <f>IF($J84="","",IFERROR(IF(INDEX(Tarifa!$E$13:$E$512,$J84)&amp;""=INDEX(Tarifa!$E$13:$E$512,$J83)&amp;"","",INDEX(Tarifa!$E$13:$E$512,$J84)&amp;""),""))</f>
        <v/>
      </c>
      <c r="B84" s="39">
        <f>IF($J84="","",INDEX(Tarifa!$A$13:$A$512,$J84)&amp;"")</f>
        <v/>
      </c>
      <c r="C84" s="39">
        <f>IF($J84="","",INDEX(Tarifa!$B$13:$B$512,$J84)&amp;"")</f>
        <v/>
      </c>
      <c r="D84" s="39">
        <f>IF($J84="","",INDEX(Tarifa!$C$13:$C$512,$J84)&amp;"")</f>
        <v/>
      </c>
      <c r="E84" s="40">
        <f>IF($J84="","",IF(INDEX(Tarifa!$D$13:$D$512,$J84)="","",INDEX(Tarifa!$D$13:$D$512,$J84)))</f>
        <v/>
      </c>
      <c r="F84" s="41">
        <f>IF(OR($J84="",$J$1=""),"",IF(INDEX(Tarifa!$G$13:$G$512,$J84)="","",IF(NOT(ISNUMBER(INDEX(Tarifa!$G$13:$G$512,$J84))),"Revisa",IF($J$1=1,INDEX(Tarifa!$G$13:$G$512,$J84),ROUND(ROUND(INDEX(Tarifa!$G$13:$G$512,$J84)*(1+$J$2/100)/$J$3,0)*$J$3,2)))))</f>
        <v/>
      </c>
      <c r="G84" s="42">
        <f>IF(OR(NOT(ISNUMBER(F84)),N(E84)&lt;=1),"",ROUND(F84/E84,3))</f>
        <v/>
      </c>
      <c r="H84" s="43">
        <f>IF($J84="","",IF(INDEX(Tarifa!$H$13:$H$512,$J84)="","",INDEX(Tarifa!$H$13:$H$512,$J84)))</f>
        <v/>
      </c>
      <c r="I84" s="41">
        <f>IF(OR($M$3="No",$M$3="",NOT(ISNUMBER(F84))),"",IF(NOT(ISNUMBER(H84)),"Falta IVA",ROUND(F84*(1+(H84+IF($M$3="Con IVA y recargo",IF(H84=21,5.2,IF(H84=10,1.4,IF(H84=4,0.5,0))),0))/100),2)))</f>
        <v/>
      </c>
      <c r="J84">
        <f>IFERROR(MATCH(74,Tarifa!$O$13:$O$512,0),"")</f>
        <v/>
      </c>
    </row>
    <row r="85" ht="17" customHeight="1">
      <c r="A85" s="38">
        <f>IF($J85="","",IFERROR(IF(INDEX(Tarifa!$E$13:$E$512,$J85)&amp;""=INDEX(Tarifa!$E$13:$E$512,$J84)&amp;"","",INDEX(Tarifa!$E$13:$E$512,$J85)&amp;""),""))</f>
        <v/>
      </c>
      <c r="B85" s="39">
        <f>IF($J85="","",INDEX(Tarifa!$A$13:$A$512,$J85)&amp;"")</f>
        <v/>
      </c>
      <c r="C85" s="39">
        <f>IF($J85="","",INDEX(Tarifa!$B$13:$B$512,$J85)&amp;"")</f>
        <v/>
      </c>
      <c r="D85" s="39">
        <f>IF($J85="","",INDEX(Tarifa!$C$13:$C$512,$J85)&amp;"")</f>
        <v/>
      </c>
      <c r="E85" s="40">
        <f>IF($J85="","",IF(INDEX(Tarifa!$D$13:$D$512,$J85)="","",INDEX(Tarifa!$D$13:$D$512,$J85)))</f>
        <v/>
      </c>
      <c r="F85" s="41">
        <f>IF(OR($J85="",$J$1=""),"",IF(INDEX(Tarifa!$G$13:$G$512,$J85)="","",IF(NOT(ISNUMBER(INDEX(Tarifa!$G$13:$G$512,$J85))),"Revisa",IF($J$1=1,INDEX(Tarifa!$G$13:$G$512,$J85),ROUND(ROUND(INDEX(Tarifa!$G$13:$G$512,$J85)*(1+$J$2/100)/$J$3,0)*$J$3,2)))))</f>
        <v/>
      </c>
      <c r="G85" s="42">
        <f>IF(OR(NOT(ISNUMBER(F85)),N(E85)&lt;=1),"",ROUND(F85/E85,3))</f>
        <v/>
      </c>
      <c r="H85" s="43">
        <f>IF($J85="","",IF(INDEX(Tarifa!$H$13:$H$512,$J85)="","",INDEX(Tarifa!$H$13:$H$512,$J85)))</f>
        <v/>
      </c>
      <c r="I85" s="41">
        <f>IF(OR($M$3="No",$M$3="",NOT(ISNUMBER(F85))),"",IF(NOT(ISNUMBER(H85)),"Falta IVA",ROUND(F85*(1+(H85+IF($M$3="Con IVA y recargo",IF(H85=21,5.2,IF(H85=10,1.4,IF(H85=4,0.5,0))),0))/100),2)))</f>
        <v/>
      </c>
      <c r="J85">
        <f>IFERROR(MATCH(75,Tarifa!$O$13:$O$512,0),"")</f>
        <v/>
      </c>
    </row>
    <row r="86" ht="17" customHeight="1">
      <c r="A86" s="38">
        <f>IF($J86="","",IFERROR(IF(INDEX(Tarifa!$E$13:$E$512,$J86)&amp;""=INDEX(Tarifa!$E$13:$E$512,$J85)&amp;"","",INDEX(Tarifa!$E$13:$E$512,$J86)&amp;""),""))</f>
        <v/>
      </c>
      <c r="B86" s="39">
        <f>IF($J86="","",INDEX(Tarifa!$A$13:$A$512,$J86)&amp;"")</f>
        <v/>
      </c>
      <c r="C86" s="39">
        <f>IF($J86="","",INDEX(Tarifa!$B$13:$B$512,$J86)&amp;"")</f>
        <v/>
      </c>
      <c r="D86" s="39">
        <f>IF($J86="","",INDEX(Tarifa!$C$13:$C$512,$J86)&amp;"")</f>
        <v/>
      </c>
      <c r="E86" s="40">
        <f>IF($J86="","",IF(INDEX(Tarifa!$D$13:$D$512,$J86)="","",INDEX(Tarifa!$D$13:$D$512,$J86)))</f>
        <v/>
      </c>
      <c r="F86" s="41">
        <f>IF(OR($J86="",$J$1=""),"",IF(INDEX(Tarifa!$G$13:$G$512,$J86)="","",IF(NOT(ISNUMBER(INDEX(Tarifa!$G$13:$G$512,$J86))),"Revisa",IF($J$1=1,INDEX(Tarifa!$G$13:$G$512,$J86),ROUND(ROUND(INDEX(Tarifa!$G$13:$G$512,$J86)*(1+$J$2/100)/$J$3,0)*$J$3,2)))))</f>
        <v/>
      </c>
      <c r="G86" s="42">
        <f>IF(OR(NOT(ISNUMBER(F86)),N(E86)&lt;=1),"",ROUND(F86/E86,3))</f>
        <v/>
      </c>
      <c r="H86" s="43">
        <f>IF($J86="","",IF(INDEX(Tarifa!$H$13:$H$512,$J86)="","",INDEX(Tarifa!$H$13:$H$512,$J86)))</f>
        <v/>
      </c>
      <c r="I86" s="41">
        <f>IF(OR($M$3="No",$M$3="",NOT(ISNUMBER(F86))),"",IF(NOT(ISNUMBER(H86)),"Falta IVA",ROUND(F86*(1+(H86+IF($M$3="Con IVA y recargo",IF(H86=21,5.2,IF(H86=10,1.4,IF(H86=4,0.5,0))),0))/100),2)))</f>
        <v/>
      </c>
      <c r="J86">
        <f>IFERROR(MATCH(76,Tarifa!$O$13:$O$512,0),"")</f>
        <v/>
      </c>
    </row>
    <row r="87" ht="17" customHeight="1">
      <c r="A87" s="38">
        <f>IF($J87="","",IFERROR(IF(INDEX(Tarifa!$E$13:$E$512,$J87)&amp;""=INDEX(Tarifa!$E$13:$E$512,$J86)&amp;"","",INDEX(Tarifa!$E$13:$E$512,$J87)&amp;""),""))</f>
        <v/>
      </c>
      <c r="B87" s="39">
        <f>IF($J87="","",INDEX(Tarifa!$A$13:$A$512,$J87)&amp;"")</f>
        <v/>
      </c>
      <c r="C87" s="39">
        <f>IF($J87="","",INDEX(Tarifa!$B$13:$B$512,$J87)&amp;"")</f>
        <v/>
      </c>
      <c r="D87" s="39">
        <f>IF($J87="","",INDEX(Tarifa!$C$13:$C$512,$J87)&amp;"")</f>
        <v/>
      </c>
      <c r="E87" s="40">
        <f>IF($J87="","",IF(INDEX(Tarifa!$D$13:$D$512,$J87)="","",INDEX(Tarifa!$D$13:$D$512,$J87)))</f>
        <v/>
      </c>
      <c r="F87" s="41">
        <f>IF(OR($J87="",$J$1=""),"",IF(INDEX(Tarifa!$G$13:$G$512,$J87)="","",IF(NOT(ISNUMBER(INDEX(Tarifa!$G$13:$G$512,$J87))),"Revisa",IF($J$1=1,INDEX(Tarifa!$G$13:$G$512,$J87),ROUND(ROUND(INDEX(Tarifa!$G$13:$G$512,$J87)*(1+$J$2/100)/$J$3,0)*$J$3,2)))))</f>
        <v/>
      </c>
      <c r="G87" s="42">
        <f>IF(OR(NOT(ISNUMBER(F87)),N(E87)&lt;=1),"",ROUND(F87/E87,3))</f>
        <v/>
      </c>
      <c r="H87" s="43">
        <f>IF($J87="","",IF(INDEX(Tarifa!$H$13:$H$512,$J87)="","",INDEX(Tarifa!$H$13:$H$512,$J87)))</f>
        <v/>
      </c>
      <c r="I87" s="41">
        <f>IF(OR($M$3="No",$M$3="",NOT(ISNUMBER(F87))),"",IF(NOT(ISNUMBER(H87)),"Falta IVA",ROUND(F87*(1+(H87+IF($M$3="Con IVA y recargo",IF(H87=21,5.2,IF(H87=10,1.4,IF(H87=4,0.5,0))),0))/100),2)))</f>
        <v/>
      </c>
      <c r="J87">
        <f>IFERROR(MATCH(77,Tarifa!$O$13:$O$512,0),"")</f>
        <v/>
      </c>
    </row>
    <row r="88" ht="17" customHeight="1">
      <c r="A88" s="38">
        <f>IF($J88="","",IFERROR(IF(INDEX(Tarifa!$E$13:$E$512,$J88)&amp;""=INDEX(Tarifa!$E$13:$E$512,$J87)&amp;"","",INDEX(Tarifa!$E$13:$E$512,$J88)&amp;""),""))</f>
        <v/>
      </c>
      <c r="B88" s="39">
        <f>IF($J88="","",INDEX(Tarifa!$A$13:$A$512,$J88)&amp;"")</f>
        <v/>
      </c>
      <c r="C88" s="39">
        <f>IF($J88="","",INDEX(Tarifa!$B$13:$B$512,$J88)&amp;"")</f>
        <v/>
      </c>
      <c r="D88" s="39">
        <f>IF($J88="","",INDEX(Tarifa!$C$13:$C$512,$J88)&amp;"")</f>
        <v/>
      </c>
      <c r="E88" s="40">
        <f>IF($J88="","",IF(INDEX(Tarifa!$D$13:$D$512,$J88)="","",INDEX(Tarifa!$D$13:$D$512,$J88)))</f>
        <v/>
      </c>
      <c r="F88" s="41">
        <f>IF(OR($J88="",$J$1=""),"",IF(INDEX(Tarifa!$G$13:$G$512,$J88)="","",IF(NOT(ISNUMBER(INDEX(Tarifa!$G$13:$G$512,$J88))),"Revisa",IF($J$1=1,INDEX(Tarifa!$G$13:$G$512,$J88),ROUND(ROUND(INDEX(Tarifa!$G$13:$G$512,$J88)*(1+$J$2/100)/$J$3,0)*$J$3,2)))))</f>
        <v/>
      </c>
      <c r="G88" s="42">
        <f>IF(OR(NOT(ISNUMBER(F88)),N(E88)&lt;=1),"",ROUND(F88/E88,3))</f>
        <v/>
      </c>
      <c r="H88" s="43">
        <f>IF($J88="","",IF(INDEX(Tarifa!$H$13:$H$512,$J88)="","",INDEX(Tarifa!$H$13:$H$512,$J88)))</f>
        <v/>
      </c>
      <c r="I88" s="41">
        <f>IF(OR($M$3="No",$M$3="",NOT(ISNUMBER(F88))),"",IF(NOT(ISNUMBER(H88)),"Falta IVA",ROUND(F88*(1+(H88+IF($M$3="Con IVA y recargo",IF(H88=21,5.2,IF(H88=10,1.4,IF(H88=4,0.5,0))),0))/100),2)))</f>
        <v/>
      </c>
      <c r="J88">
        <f>IFERROR(MATCH(78,Tarifa!$O$13:$O$512,0),"")</f>
        <v/>
      </c>
    </row>
    <row r="89" ht="17" customHeight="1">
      <c r="A89" s="38">
        <f>IF($J89="","",IFERROR(IF(INDEX(Tarifa!$E$13:$E$512,$J89)&amp;""=INDEX(Tarifa!$E$13:$E$512,$J88)&amp;"","",INDEX(Tarifa!$E$13:$E$512,$J89)&amp;""),""))</f>
        <v/>
      </c>
      <c r="B89" s="39">
        <f>IF($J89="","",INDEX(Tarifa!$A$13:$A$512,$J89)&amp;"")</f>
        <v/>
      </c>
      <c r="C89" s="39">
        <f>IF($J89="","",INDEX(Tarifa!$B$13:$B$512,$J89)&amp;"")</f>
        <v/>
      </c>
      <c r="D89" s="39">
        <f>IF($J89="","",INDEX(Tarifa!$C$13:$C$512,$J89)&amp;"")</f>
        <v/>
      </c>
      <c r="E89" s="40">
        <f>IF($J89="","",IF(INDEX(Tarifa!$D$13:$D$512,$J89)="","",INDEX(Tarifa!$D$13:$D$512,$J89)))</f>
        <v/>
      </c>
      <c r="F89" s="41">
        <f>IF(OR($J89="",$J$1=""),"",IF(INDEX(Tarifa!$G$13:$G$512,$J89)="","",IF(NOT(ISNUMBER(INDEX(Tarifa!$G$13:$G$512,$J89))),"Revisa",IF($J$1=1,INDEX(Tarifa!$G$13:$G$512,$J89),ROUND(ROUND(INDEX(Tarifa!$G$13:$G$512,$J89)*(1+$J$2/100)/$J$3,0)*$J$3,2)))))</f>
        <v/>
      </c>
      <c r="G89" s="42">
        <f>IF(OR(NOT(ISNUMBER(F89)),N(E89)&lt;=1),"",ROUND(F89/E89,3))</f>
        <v/>
      </c>
      <c r="H89" s="43">
        <f>IF($J89="","",IF(INDEX(Tarifa!$H$13:$H$512,$J89)="","",INDEX(Tarifa!$H$13:$H$512,$J89)))</f>
        <v/>
      </c>
      <c r="I89" s="41">
        <f>IF(OR($M$3="No",$M$3="",NOT(ISNUMBER(F89))),"",IF(NOT(ISNUMBER(H89)),"Falta IVA",ROUND(F89*(1+(H89+IF($M$3="Con IVA y recargo",IF(H89=21,5.2,IF(H89=10,1.4,IF(H89=4,0.5,0))),0))/100),2)))</f>
        <v/>
      </c>
      <c r="J89">
        <f>IFERROR(MATCH(79,Tarifa!$O$13:$O$512,0),"")</f>
        <v/>
      </c>
    </row>
    <row r="90" ht="17" customHeight="1">
      <c r="A90" s="38">
        <f>IF($J90="","",IFERROR(IF(INDEX(Tarifa!$E$13:$E$512,$J90)&amp;""=INDEX(Tarifa!$E$13:$E$512,$J89)&amp;"","",INDEX(Tarifa!$E$13:$E$512,$J90)&amp;""),""))</f>
        <v/>
      </c>
      <c r="B90" s="39">
        <f>IF($J90="","",INDEX(Tarifa!$A$13:$A$512,$J90)&amp;"")</f>
        <v/>
      </c>
      <c r="C90" s="39">
        <f>IF($J90="","",INDEX(Tarifa!$B$13:$B$512,$J90)&amp;"")</f>
        <v/>
      </c>
      <c r="D90" s="39">
        <f>IF($J90="","",INDEX(Tarifa!$C$13:$C$512,$J90)&amp;"")</f>
        <v/>
      </c>
      <c r="E90" s="40">
        <f>IF($J90="","",IF(INDEX(Tarifa!$D$13:$D$512,$J90)="","",INDEX(Tarifa!$D$13:$D$512,$J90)))</f>
        <v/>
      </c>
      <c r="F90" s="41">
        <f>IF(OR($J90="",$J$1=""),"",IF(INDEX(Tarifa!$G$13:$G$512,$J90)="","",IF(NOT(ISNUMBER(INDEX(Tarifa!$G$13:$G$512,$J90))),"Revisa",IF($J$1=1,INDEX(Tarifa!$G$13:$G$512,$J90),ROUND(ROUND(INDEX(Tarifa!$G$13:$G$512,$J90)*(1+$J$2/100)/$J$3,0)*$J$3,2)))))</f>
        <v/>
      </c>
      <c r="G90" s="42">
        <f>IF(OR(NOT(ISNUMBER(F90)),N(E90)&lt;=1),"",ROUND(F90/E90,3))</f>
        <v/>
      </c>
      <c r="H90" s="43">
        <f>IF($J90="","",IF(INDEX(Tarifa!$H$13:$H$512,$J90)="","",INDEX(Tarifa!$H$13:$H$512,$J90)))</f>
        <v/>
      </c>
      <c r="I90" s="41">
        <f>IF(OR($M$3="No",$M$3="",NOT(ISNUMBER(F90))),"",IF(NOT(ISNUMBER(H90)),"Falta IVA",ROUND(F90*(1+(H90+IF($M$3="Con IVA y recargo",IF(H90=21,5.2,IF(H90=10,1.4,IF(H90=4,0.5,0))),0))/100),2)))</f>
        <v/>
      </c>
      <c r="J90">
        <f>IFERROR(MATCH(80,Tarifa!$O$13:$O$512,0),"")</f>
        <v/>
      </c>
    </row>
    <row r="91" ht="17" customHeight="1">
      <c r="A91" s="38">
        <f>IF($J91="","",IFERROR(IF(INDEX(Tarifa!$E$13:$E$512,$J91)&amp;""=INDEX(Tarifa!$E$13:$E$512,$J90)&amp;"","",INDEX(Tarifa!$E$13:$E$512,$J91)&amp;""),""))</f>
        <v/>
      </c>
      <c r="B91" s="39">
        <f>IF($J91="","",INDEX(Tarifa!$A$13:$A$512,$J91)&amp;"")</f>
        <v/>
      </c>
      <c r="C91" s="39">
        <f>IF($J91="","",INDEX(Tarifa!$B$13:$B$512,$J91)&amp;"")</f>
        <v/>
      </c>
      <c r="D91" s="39">
        <f>IF($J91="","",INDEX(Tarifa!$C$13:$C$512,$J91)&amp;"")</f>
        <v/>
      </c>
      <c r="E91" s="40">
        <f>IF($J91="","",IF(INDEX(Tarifa!$D$13:$D$512,$J91)="","",INDEX(Tarifa!$D$13:$D$512,$J91)))</f>
        <v/>
      </c>
      <c r="F91" s="41">
        <f>IF(OR($J91="",$J$1=""),"",IF(INDEX(Tarifa!$G$13:$G$512,$J91)="","",IF(NOT(ISNUMBER(INDEX(Tarifa!$G$13:$G$512,$J91))),"Revisa",IF($J$1=1,INDEX(Tarifa!$G$13:$G$512,$J91),ROUND(ROUND(INDEX(Tarifa!$G$13:$G$512,$J91)*(1+$J$2/100)/$J$3,0)*$J$3,2)))))</f>
        <v/>
      </c>
      <c r="G91" s="42">
        <f>IF(OR(NOT(ISNUMBER(F91)),N(E91)&lt;=1),"",ROUND(F91/E91,3))</f>
        <v/>
      </c>
      <c r="H91" s="43">
        <f>IF($J91="","",IF(INDEX(Tarifa!$H$13:$H$512,$J91)="","",INDEX(Tarifa!$H$13:$H$512,$J91)))</f>
        <v/>
      </c>
      <c r="I91" s="41">
        <f>IF(OR($M$3="No",$M$3="",NOT(ISNUMBER(F91))),"",IF(NOT(ISNUMBER(H91)),"Falta IVA",ROUND(F91*(1+(H91+IF($M$3="Con IVA y recargo",IF(H91=21,5.2,IF(H91=10,1.4,IF(H91=4,0.5,0))),0))/100),2)))</f>
        <v/>
      </c>
      <c r="J91">
        <f>IFERROR(MATCH(81,Tarifa!$O$13:$O$512,0),"")</f>
        <v/>
      </c>
    </row>
    <row r="92" ht="17" customHeight="1">
      <c r="A92" s="38">
        <f>IF($J92="","",IFERROR(IF(INDEX(Tarifa!$E$13:$E$512,$J92)&amp;""=INDEX(Tarifa!$E$13:$E$512,$J91)&amp;"","",INDEX(Tarifa!$E$13:$E$512,$J92)&amp;""),""))</f>
        <v/>
      </c>
      <c r="B92" s="39">
        <f>IF($J92="","",INDEX(Tarifa!$A$13:$A$512,$J92)&amp;"")</f>
        <v/>
      </c>
      <c r="C92" s="39">
        <f>IF($J92="","",INDEX(Tarifa!$B$13:$B$512,$J92)&amp;"")</f>
        <v/>
      </c>
      <c r="D92" s="39">
        <f>IF($J92="","",INDEX(Tarifa!$C$13:$C$512,$J92)&amp;"")</f>
        <v/>
      </c>
      <c r="E92" s="40">
        <f>IF($J92="","",IF(INDEX(Tarifa!$D$13:$D$512,$J92)="","",INDEX(Tarifa!$D$13:$D$512,$J92)))</f>
        <v/>
      </c>
      <c r="F92" s="41">
        <f>IF(OR($J92="",$J$1=""),"",IF(INDEX(Tarifa!$G$13:$G$512,$J92)="","",IF(NOT(ISNUMBER(INDEX(Tarifa!$G$13:$G$512,$J92))),"Revisa",IF($J$1=1,INDEX(Tarifa!$G$13:$G$512,$J92),ROUND(ROUND(INDEX(Tarifa!$G$13:$G$512,$J92)*(1+$J$2/100)/$J$3,0)*$J$3,2)))))</f>
        <v/>
      </c>
      <c r="G92" s="42">
        <f>IF(OR(NOT(ISNUMBER(F92)),N(E92)&lt;=1),"",ROUND(F92/E92,3))</f>
        <v/>
      </c>
      <c r="H92" s="43">
        <f>IF($J92="","",IF(INDEX(Tarifa!$H$13:$H$512,$J92)="","",INDEX(Tarifa!$H$13:$H$512,$J92)))</f>
        <v/>
      </c>
      <c r="I92" s="41">
        <f>IF(OR($M$3="No",$M$3="",NOT(ISNUMBER(F92))),"",IF(NOT(ISNUMBER(H92)),"Falta IVA",ROUND(F92*(1+(H92+IF($M$3="Con IVA y recargo",IF(H92=21,5.2,IF(H92=10,1.4,IF(H92=4,0.5,0))),0))/100),2)))</f>
        <v/>
      </c>
      <c r="J92">
        <f>IFERROR(MATCH(82,Tarifa!$O$13:$O$512,0),"")</f>
        <v/>
      </c>
    </row>
    <row r="93" ht="17" customHeight="1">
      <c r="A93" s="38">
        <f>IF($J93="","",IFERROR(IF(INDEX(Tarifa!$E$13:$E$512,$J93)&amp;""=INDEX(Tarifa!$E$13:$E$512,$J92)&amp;"","",INDEX(Tarifa!$E$13:$E$512,$J93)&amp;""),""))</f>
        <v/>
      </c>
      <c r="B93" s="39">
        <f>IF($J93="","",INDEX(Tarifa!$A$13:$A$512,$J93)&amp;"")</f>
        <v/>
      </c>
      <c r="C93" s="39">
        <f>IF($J93="","",INDEX(Tarifa!$B$13:$B$512,$J93)&amp;"")</f>
        <v/>
      </c>
      <c r="D93" s="39">
        <f>IF($J93="","",INDEX(Tarifa!$C$13:$C$512,$J93)&amp;"")</f>
        <v/>
      </c>
      <c r="E93" s="40">
        <f>IF($J93="","",IF(INDEX(Tarifa!$D$13:$D$512,$J93)="","",INDEX(Tarifa!$D$13:$D$512,$J93)))</f>
        <v/>
      </c>
      <c r="F93" s="41">
        <f>IF(OR($J93="",$J$1=""),"",IF(INDEX(Tarifa!$G$13:$G$512,$J93)="","",IF(NOT(ISNUMBER(INDEX(Tarifa!$G$13:$G$512,$J93))),"Revisa",IF($J$1=1,INDEX(Tarifa!$G$13:$G$512,$J93),ROUND(ROUND(INDEX(Tarifa!$G$13:$G$512,$J93)*(1+$J$2/100)/$J$3,0)*$J$3,2)))))</f>
        <v/>
      </c>
      <c r="G93" s="42">
        <f>IF(OR(NOT(ISNUMBER(F93)),N(E93)&lt;=1),"",ROUND(F93/E93,3))</f>
        <v/>
      </c>
      <c r="H93" s="43">
        <f>IF($J93="","",IF(INDEX(Tarifa!$H$13:$H$512,$J93)="","",INDEX(Tarifa!$H$13:$H$512,$J93)))</f>
        <v/>
      </c>
      <c r="I93" s="41">
        <f>IF(OR($M$3="No",$M$3="",NOT(ISNUMBER(F93))),"",IF(NOT(ISNUMBER(H93)),"Falta IVA",ROUND(F93*(1+(H93+IF($M$3="Con IVA y recargo",IF(H93=21,5.2,IF(H93=10,1.4,IF(H93=4,0.5,0))),0))/100),2)))</f>
        <v/>
      </c>
      <c r="J93">
        <f>IFERROR(MATCH(83,Tarifa!$O$13:$O$512,0),"")</f>
        <v/>
      </c>
    </row>
    <row r="94" ht="17" customHeight="1">
      <c r="A94" s="38">
        <f>IF($J94="","",IFERROR(IF(INDEX(Tarifa!$E$13:$E$512,$J94)&amp;""=INDEX(Tarifa!$E$13:$E$512,$J93)&amp;"","",INDEX(Tarifa!$E$13:$E$512,$J94)&amp;""),""))</f>
        <v/>
      </c>
      <c r="B94" s="39">
        <f>IF($J94="","",INDEX(Tarifa!$A$13:$A$512,$J94)&amp;"")</f>
        <v/>
      </c>
      <c r="C94" s="39">
        <f>IF($J94="","",INDEX(Tarifa!$B$13:$B$512,$J94)&amp;"")</f>
        <v/>
      </c>
      <c r="D94" s="39">
        <f>IF($J94="","",INDEX(Tarifa!$C$13:$C$512,$J94)&amp;"")</f>
        <v/>
      </c>
      <c r="E94" s="40">
        <f>IF($J94="","",IF(INDEX(Tarifa!$D$13:$D$512,$J94)="","",INDEX(Tarifa!$D$13:$D$512,$J94)))</f>
        <v/>
      </c>
      <c r="F94" s="41">
        <f>IF(OR($J94="",$J$1=""),"",IF(INDEX(Tarifa!$G$13:$G$512,$J94)="","",IF(NOT(ISNUMBER(INDEX(Tarifa!$G$13:$G$512,$J94))),"Revisa",IF($J$1=1,INDEX(Tarifa!$G$13:$G$512,$J94),ROUND(ROUND(INDEX(Tarifa!$G$13:$G$512,$J94)*(1+$J$2/100)/$J$3,0)*$J$3,2)))))</f>
        <v/>
      </c>
      <c r="G94" s="42">
        <f>IF(OR(NOT(ISNUMBER(F94)),N(E94)&lt;=1),"",ROUND(F94/E94,3))</f>
        <v/>
      </c>
      <c r="H94" s="43">
        <f>IF($J94="","",IF(INDEX(Tarifa!$H$13:$H$512,$J94)="","",INDEX(Tarifa!$H$13:$H$512,$J94)))</f>
        <v/>
      </c>
      <c r="I94" s="41">
        <f>IF(OR($M$3="No",$M$3="",NOT(ISNUMBER(F94))),"",IF(NOT(ISNUMBER(H94)),"Falta IVA",ROUND(F94*(1+(H94+IF($M$3="Con IVA y recargo",IF(H94=21,5.2,IF(H94=10,1.4,IF(H94=4,0.5,0))),0))/100),2)))</f>
        <v/>
      </c>
      <c r="J94">
        <f>IFERROR(MATCH(84,Tarifa!$O$13:$O$512,0),"")</f>
        <v/>
      </c>
    </row>
    <row r="95" ht="17" customHeight="1">
      <c r="A95" s="38">
        <f>IF($J95="","",IFERROR(IF(INDEX(Tarifa!$E$13:$E$512,$J95)&amp;""=INDEX(Tarifa!$E$13:$E$512,$J94)&amp;"","",INDEX(Tarifa!$E$13:$E$512,$J95)&amp;""),""))</f>
        <v/>
      </c>
      <c r="B95" s="39">
        <f>IF($J95="","",INDEX(Tarifa!$A$13:$A$512,$J95)&amp;"")</f>
        <v/>
      </c>
      <c r="C95" s="39">
        <f>IF($J95="","",INDEX(Tarifa!$B$13:$B$512,$J95)&amp;"")</f>
        <v/>
      </c>
      <c r="D95" s="39">
        <f>IF($J95="","",INDEX(Tarifa!$C$13:$C$512,$J95)&amp;"")</f>
        <v/>
      </c>
      <c r="E95" s="40">
        <f>IF($J95="","",IF(INDEX(Tarifa!$D$13:$D$512,$J95)="","",INDEX(Tarifa!$D$13:$D$512,$J95)))</f>
        <v/>
      </c>
      <c r="F95" s="41">
        <f>IF(OR($J95="",$J$1=""),"",IF(INDEX(Tarifa!$G$13:$G$512,$J95)="","",IF(NOT(ISNUMBER(INDEX(Tarifa!$G$13:$G$512,$J95))),"Revisa",IF($J$1=1,INDEX(Tarifa!$G$13:$G$512,$J95),ROUND(ROUND(INDEX(Tarifa!$G$13:$G$512,$J95)*(1+$J$2/100)/$J$3,0)*$J$3,2)))))</f>
        <v/>
      </c>
      <c r="G95" s="42">
        <f>IF(OR(NOT(ISNUMBER(F95)),N(E95)&lt;=1),"",ROUND(F95/E95,3))</f>
        <v/>
      </c>
      <c r="H95" s="43">
        <f>IF($J95="","",IF(INDEX(Tarifa!$H$13:$H$512,$J95)="","",INDEX(Tarifa!$H$13:$H$512,$J95)))</f>
        <v/>
      </c>
      <c r="I95" s="41">
        <f>IF(OR($M$3="No",$M$3="",NOT(ISNUMBER(F95))),"",IF(NOT(ISNUMBER(H95)),"Falta IVA",ROUND(F95*(1+(H95+IF($M$3="Con IVA y recargo",IF(H95=21,5.2,IF(H95=10,1.4,IF(H95=4,0.5,0))),0))/100),2)))</f>
        <v/>
      </c>
      <c r="J95">
        <f>IFERROR(MATCH(85,Tarifa!$O$13:$O$512,0),"")</f>
        <v/>
      </c>
    </row>
    <row r="96" ht="17" customHeight="1">
      <c r="A96" s="38">
        <f>IF($J96="","",IFERROR(IF(INDEX(Tarifa!$E$13:$E$512,$J96)&amp;""=INDEX(Tarifa!$E$13:$E$512,$J95)&amp;"","",INDEX(Tarifa!$E$13:$E$512,$J96)&amp;""),""))</f>
        <v/>
      </c>
      <c r="B96" s="39">
        <f>IF($J96="","",INDEX(Tarifa!$A$13:$A$512,$J96)&amp;"")</f>
        <v/>
      </c>
      <c r="C96" s="39">
        <f>IF($J96="","",INDEX(Tarifa!$B$13:$B$512,$J96)&amp;"")</f>
        <v/>
      </c>
      <c r="D96" s="39">
        <f>IF($J96="","",INDEX(Tarifa!$C$13:$C$512,$J96)&amp;"")</f>
        <v/>
      </c>
      <c r="E96" s="40">
        <f>IF($J96="","",IF(INDEX(Tarifa!$D$13:$D$512,$J96)="","",INDEX(Tarifa!$D$13:$D$512,$J96)))</f>
        <v/>
      </c>
      <c r="F96" s="41">
        <f>IF(OR($J96="",$J$1=""),"",IF(INDEX(Tarifa!$G$13:$G$512,$J96)="","",IF(NOT(ISNUMBER(INDEX(Tarifa!$G$13:$G$512,$J96))),"Revisa",IF($J$1=1,INDEX(Tarifa!$G$13:$G$512,$J96),ROUND(ROUND(INDEX(Tarifa!$G$13:$G$512,$J96)*(1+$J$2/100)/$J$3,0)*$J$3,2)))))</f>
        <v/>
      </c>
      <c r="G96" s="42">
        <f>IF(OR(NOT(ISNUMBER(F96)),N(E96)&lt;=1),"",ROUND(F96/E96,3))</f>
        <v/>
      </c>
      <c r="H96" s="43">
        <f>IF($J96="","",IF(INDEX(Tarifa!$H$13:$H$512,$J96)="","",INDEX(Tarifa!$H$13:$H$512,$J96)))</f>
        <v/>
      </c>
      <c r="I96" s="41">
        <f>IF(OR($M$3="No",$M$3="",NOT(ISNUMBER(F96))),"",IF(NOT(ISNUMBER(H96)),"Falta IVA",ROUND(F96*(1+(H96+IF($M$3="Con IVA y recargo",IF(H96=21,5.2,IF(H96=10,1.4,IF(H96=4,0.5,0))),0))/100),2)))</f>
        <v/>
      </c>
      <c r="J96">
        <f>IFERROR(MATCH(86,Tarifa!$O$13:$O$512,0),"")</f>
        <v/>
      </c>
    </row>
    <row r="97" ht="17" customHeight="1">
      <c r="A97" s="38">
        <f>IF($J97="","",IFERROR(IF(INDEX(Tarifa!$E$13:$E$512,$J97)&amp;""=INDEX(Tarifa!$E$13:$E$512,$J96)&amp;"","",INDEX(Tarifa!$E$13:$E$512,$J97)&amp;""),""))</f>
        <v/>
      </c>
      <c r="B97" s="39">
        <f>IF($J97="","",INDEX(Tarifa!$A$13:$A$512,$J97)&amp;"")</f>
        <v/>
      </c>
      <c r="C97" s="39">
        <f>IF($J97="","",INDEX(Tarifa!$B$13:$B$512,$J97)&amp;"")</f>
        <v/>
      </c>
      <c r="D97" s="39">
        <f>IF($J97="","",INDEX(Tarifa!$C$13:$C$512,$J97)&amp;"")</f>
        <v/>
      </c>
      <c r="E97" s="40">
        <f>IF($J97="","",IF(INDEX(Tarifa!$D$13:$D$512,$J97)="","",INDEX(Tarifa!$D$13:$D$512,$J97)))</f>
        <v/>
      </c>
      <c r="F97" s="41">
        <f>IF(OR($J97="",$J$1=""),"",IF(INDEX(Tarifa!$G$13:$G$512,$J97)="","",IF(NOT(ISNUMBER(INDEX(Tarifa!$G$13:$G$512,$J97))),"Revisa",IF($J$1=1,INDEX(Tarifa!$G$13:$G$512,$J97),ROUND(ROUND(INDEX(Tarifa!$G$13:$G$512,$J97)*(1+$J$2/100)/$J$3,0)*$J$3,2)))))</f>
        <v/>
      </c>
      <c r="G97" s="42">
        <f>IF(OR(NOT(ISNUMBER(F97)),N(E97)&lt;=1),"",ROUND(F97/E97,3))</f>
        <v/>
      </c>
      <c r="H97" s="43">
        <f>IF($J97="","",IF(INDEX(Tarifa!$H$13:$H$512,$J97)="","",INDEX(Tarifa!$H$13:$H$512,$J97)))</f>
        <v/>
      </c>
      <c r="I97" s="41">
        <f>IF(OR($M$3="No",$M$3="",NOT(ISNUMBER(F97))),"",IF(NOT(ISNUMBER(H97)),"Falta IVA",ROUND(F97*(1+(H97+IF($M$3="Con IVA y recargo",IF(H97=21,5.2,IF(H97=10,1.4,IF(H97=4,0.5,0))),0))/100),2)))</f>
        <v/>
      </c>
      <c r="J97">
        <f>IFERROR(MATCH(87,Tarifa!$O$13:$O$512,0),"")</f>
        <v/>
      </c>
    </row>
    <row r="98" ht="17" customHeight="1">
      <c r="A98" s="38">
        <f>IF($J98="","",IFERROR(IF(INDEX(Tarifa!$E$13:$E$512,$J98)&amp;""=INDEX(Tarifa!$E$13:$E$512,$J97)&amp;"","",INDEX(Tarifa!$E$13:$E$512,$J98)&amp;""),""))</f>
        <v/>
      </c>
      <c r="B98" s="39">
        <f>IF($J98="","",INDEX(Tarifa!$A$13:$A$512,$J98)&amp;"")</f>
        <v/>
      </c>
      <c r="C98" s="39">
        <f>IF($J98="","",INDEX(Tarifa!$B$13:$B$512,$J98)&amp;"")</f>
        <v/>
      </c>
      <c r="D98" s="39">
        <f>IF($J98="","",INDEX(Tarifa!$C$13:$C$512,$J98)&amp;"")</f>
        <v/>
      </c>
      <c r="E98" s="40">
        <f>IF($J98="","",IF(INDEX(Tarifa!$D$13:$D$512,$J98)="","",INDEX(Tarifa!$D$13:$D$512,$J98)))</f>
        <v/>
      </c>
      <c r="F98" s="41">
        <f>IF(OR($J98="",$J$1=""),"",IF(INDEX(Tarifa!$G$13:$G$512,$J98)="","",IF(NOT(ISNUMBER(INDEX(Tarifa!$G$13:$G$512,$J98))),"Revisa",IF($J$1=1,INDEX(Tarifa!$G$13:$G$512,$J98),ROUND(ROUND(INDEX(Tarifa!$G$13:$G$512,$J98)*(1+$J$2/100)/$J$3,0)*$J$3,2)))))</f>
        <v/>
      </c>
      <c r="G98" s="42">
        <f>IF(OR(NOT(ISNUMBER(F98)),N(E98)&lt;=1),"",ROUND(F98/E98,3))</f>
        <v/>
      </c>
      <c r="H98" s="43">
        <f>IF($J98="","",IF(INDEX(Tarifa!$H$13:$H$512,$J98)="","",INDEX(Tarifa!$H$13:$H$512,$J98)))</f>
        <v/>
      </c>
      <c r="I98" s="41">
        <f>IF(OR($M$3="No",$M$3="",NOT(ISNUMBER(F98))),"",IF(NOT(ISNUMBER(H98)),"Falta IVA",ROUND(F98*(1+(H98+IF($M$3="Con IVA y recargo",IF(H98=21,5.2,IF(H98=10,1.4,IF(H98=4,0.5,0))),0))/100),2)))</f>
        <v/>
      </c>
      <c r="J98">
        <f>IFERROR(MATCH(88,Tarifa!$O$13:$O$512,0),"")</f>
        <v/>
      </c>
    </row>
    <row r="99" ht="17" customHeight="1">
      <c r="A99" s="38">
        <f>IF($J99="","",IFERROR(IF(INDEX(Tarifa!$E$13:$E$512,$J99)&amp;""=INDEX(Tarifa!$E$13:$E$512,$J98)&amp;"","",INDEX(Tarifa!$E$13:$E$512,$J99)&amp;""),""))</f>
        <v/>
      </c>
      <c r="B99" s="39">
        <f>IF($J99="","",INDEX(Tarifa!$A$13:$A$512,$J99)&amp;"")</f>
        <v/>
      </c>
      <c r="C99" s="39">
        <f>IF($J99="","",INDEX(Tarifa!$B$13:$B$512,$J99)&amp;"")</f>
        <v/>
      </c>
      <c r="D99" s="39">
        <f>IF($J99="","",INDEX(Tarifa!$C$13:$C$512,$J99)&amp;"")</f>
        <v/>
      </c>
      <c r="E99" s="40">
        <f>IF($J99="","",IF(INDEX(Tarifa!$D$13:$D$512,$J99)="","",INDEX(Tarifa!$D$13:$D$512,$J99)))</f>
        <v/>
      </c>
      <c r="F99" s="41">
        <f>IF(OR($J99="",$J$1=""),"",IF(INDEX(Tarifa!$G$13:$G$512,$J99)="","",IF(NOT(ISNUMBER(INDEX(Tarifa!$G$13:$G$512,$J99))),"Revisa",IF($J$1=1,INDEX(Tarifa!$G$13:$G$512,$J99),ROUND(ROUND(INDEX(Tarifa!$G$13:$G$512,$J99)*(1+$J$2/100)/$J$3,0)*$J$3,2)))))</f>
        <v/>
      </c>
      <c r="G99" s="42">
        <f>IF(OR(NOT(ISNUMBER(F99)),N(E99)&lt;=1),"",ROUND(F99/E99,3))</f>
        <v/>
      </c>
      <c r="H99" s="43">
        <f>IF($J99="","",IF(INDEX(Tarifa!$H$13:$H$512,$J99)="","",INDEX(Tarifa!$H$13:$H$512,$J99)))</f>
        <v/>
      </c>
      <c r="I99" s="41">
        <f>IF(OR($M$3="No",$M$3="",NOT(ISNUMBER(F99))),"",IF(NOT(ISNUMBER(H99)),"Falta IVA",ROUND(F99*(1+(H99+IF($M$3="Con IVA y recargo",IF(H99=21,5.2,IF(H99=10,1.4,IF(H99=4,0.5,0))),0))/100),2)))</f>
        <v/>
      </c>
      <c r="J99">
        <f>IFERROR(MATCH(89,Tarifa!$O$13:$O$512,0),"")</f>
        <v/>
      </c>
    </row>
    <row r="100" ht="17" customHeight="1">
      <c r="A100" s="38">
        <f>IF($J100="","",IFERROR(IF(INDEX(Tarifa!$E$13:$E$512,$J100)&amp;""=INDEX(Tarifa!$E$13:$E$512,$J99)&amp;"","",INDEX(Tarifa!$E$13:$E$512,$J100)&amp;""),""))</f>
        <v/>
      </c>
      <c r="B100" s="39">
        <f>IF($J100="","",INDEX(Tarifa!$A$13:$A$512,$J100)&amp;"")</f>
        <v/>
      </c>
      <c r="C100" s="39">
        <f>IF($J100="","",INDEX(Tarifa!$B$13:$B$512,$J100)&amp;"")</f>
        <v/>
      </c>
      <c r="D100" s="39">
        <f>IF($J100="","",INDEX(Tarifa!$C$13:$C$512,$J100)&amp;"")</f>
        <v/>
      </c>
      <c r="E100" s="40">
        <f>IF($J100="","",IF(INDEX(Tarifa!$D$13:$D$512,$J100)="","",INDEX(Tarifa!$D$13:$D$512,$J100)))</f>
        <v/>
      </c>
      <c r="F100" s="41">
        <f>IF(OR($J100="",$J$1=""),"",IF(INDEX(Tarifa!$G$13:$G$512,$J100)="","",IF(NOT(ISNUMBER(INDEX(Tarifa!$G$13:$G$512,$J100))),"Revisa",IF($J$1=1,INDEX(Tarifa!$G$13:$G$512,$J100),ROUND(ROUND(INDEX(Tarifa!$G$13:$G$512,$J100)*(1+$J$2/100)/$J$3,0)*$J$3,2)))))</f>
        <v/>
      </c>
      <c r="G100" s="42">
        <f>IF(OR(NOT(ISNUMBER(F100)),N(E100)&lt;=1),"",ROUND(F100/E100,3))</f>
        <v/>
      </c>
      <c r="H100" s="43">
        <f>IF($J100="","",IF(INDEX(Tarifa!$H$13:$H$512,$J100)="","",INDEX(Tarifa!$H$13:$H$512,$J100)))</f>
        <v/>
      </c>
      <c r="I100" s="41">
        <f>IF(OR($M$3="No",$M$3="",NOT(ISNUMBER(F100))),"",IF(NOT(ISNUMBER(H100)),"Falta IVA",ROUND(F100*(1+(H100+IF($M$3="Con IVA y recargo",IF(H100=21,5.2,IF(H100=10,1.4,IF(H100=4,0.5,0))),0))/100),2)))</f>
        <v/>
      </c>
      <c r="J100">
        <f>IFERROR(MATCH(90,Tarifa!$O$13:$O$512,0),"")</f>
        <v/>
      </c>
    </row>
    <row r="101" ht="17" customHeight="1">
      <c r="A101" s="38">
        <f>IF($J101="","",IFERROR(IF(INDEX(Tarifa!$E$13:$E$512,$J101)&amp;""=INDEX(Tarifa!$E$13:$E$512,$J100)&amp;"","",INDEX(Tarifa!$E$13:$E$512,$J101)&amp;""),""))</f>
        <v/>
      </c>
      <c r="B101" s="39">
        <f>IF($J101="","",INDEX(Tarifa!$A$13:$A$512,$J101)&amp;"")</f>
        <v/>
      </c>
      <c r="C101" s="39">
        <f>IF($J101="","",INDEX(Tarifa!$B$13:$B$512,$J101)&amp;"")</f>
        <v/>
      </c>
      <c r="D101" s="39">
        <f>IF($J101="","",INDEX(Tarifa!$C$13:$C$512,$J101)&amp;"")</f>
        <v/>
      </c>
      <c r="E101" s="40">
        <f>IF($J101="","",IF(INDEX(Tarifa!$D$13:$D$512,$J101)="","",INDEX(Tarifa!$D$13:$D$512,$J101)))</f>
        <v/>
      </c>
      <c r="F101" s="41">
        <f>IF(OR($J101="",$J$1=""),"",IF(INDEX(Tarifa!$G$13:$G$512,$J101)="","",IF(NOT(ISNUMBER(INDEX(Tarifa!$G$13:$G$512,$J101))),"Revisa",IF($J$1=1,INDEX(Tarifa!$G$13:$G$512,$J101),ROUND(ROUND(INDEX(Tarifa!$G$13:$G$512,$J101)*(1+$J$2/100)/$J$3,0)*$J$3,2)))))</f>
        <v/>
      </c>
      <c r="G101" s="42">
        <f>IF(OR(NOT(ISNUMBER(F101)),N(E101)&lt;=1),"",ROUND(F101/E101,3))</f>
        <v/>
      </c>
      <c r="H101" s="43">
        <f>IF($J101="","",IF(INDEX(Tarifa!$H$13:$H$512,$J101)="","",INDEX(Tarifa!$H$13:$H$512,$J101)))</f>
        <v/>
      </c>
      <c r="I101" s="41">
        <f>IF(OR($M$3="No",$M$3="",NOT(ISNUMBER(F101))),"",IF(NOT(ISNUMBER(H101)),"Falta IVA",ROUND(F101*(1+(H101+IF($M$3="Con IVA y recargo",IF(H101=21,5.2,IF(H101=10,1.4,IF(H101=4,0.5,0))),0))/100),2)))</f>
        <v/>
      </c>
      <c r="J101">
        <f>IFERROR(MATCH(91,Tarifa!$O$13:$O$512,0),"")</f>
        <v/>
      </c>
    </row>
    <row r="102" ht="17" customHeight="1">
      <c r="A102" s="38">
        <f>IF($J102="","",IFERROR(IF(INDEX(Tarifa!$E$13:$E$512,$J102)&amp;""=INDEX(Tarifa!$E$13:$E$512,$J101)&amp;"","",INDEX(Tarifa!$E$13:$E$512,$J102)&amp;""),""))</f>
        <v/>
      </c>
      <c r="B102" s="39">
        <f>IF($J102="","",INDEX(Tarifa!$A$13:$A$512,$J102)&amp;"")</f>
        <v/>
      </c>
      <c r="C102" s="39">
        <f>IF($J102="","",INDEX(Tarifa!$B$13:$B$512,$J102)&amp;"")</f>
        <v/>
      </c>
      <c r="D102" s="39">
        <f>IF($J102="","",INDEX(Tarifa!$C$13:$C$512,$J102)&amp;"")</f>
        <v/>
      </c>
      <c r="E102" s="40">
        <f>IF($J102="","",IF(INDEX(Tarifa!$D$13:$D$512,$J102)="","",INDEX(Tarifa!$D$13:$D$512,$J102)))</f>
        <v/>
      </c>
      <c r="F102" s="41">
        <f>IF(OR($J102="",$J$1=""),"",IF(INDEX(Tarifa!$G$13:$G$512,$J102)="","",IF(NOT(ISNUMBER(INDEX(Tarifa!$G$13:$G$512,$J102))),"Revisa",IF($J$1=1,INDEX(Tarifa!$G$13:$G$512,$J102),ROUND(ROUND(INDEX(Tarifa!$G$13:$G$512,$J102)*(1+$J$2/100)/$J$3,0)*$J$3,2)))))</f>
        <v/>
      </c>
      <c r="G102" s="42">
        <f>IF(OR(NOT(ISNUMBER(F102)),N(E102)&lt;=1),"",ROUND(F102/E102,3))</f>
        <v/>
      </c>
      <c r="H102" s="43">
        <f>IF($J102="","",IF(INDEX(Tarifa!$H$13:$H$512,$J102)="","",INDEX(Tarifa!$H$13:$H$512,$J102)))</f>
        <v/>
      </c>
      <c r="I102" s="41">
        <f>IF(OR($M$3="No",$M$3="",NOT(ISNUMBER(F102))),"",IF(NOT(ISNUMBER(H102)),"Falta IVA",ROUND(F102*(1+(H102+IF($M$3="Con IVA y recargo",IF(H102=21,5.2,IF(H102=10,1.4,IF(H102=4,0.5,0))),0))/100),2)))</f>
        <v/>
      </c>
      <c r="J102">
        <f>IFERROR(MATCH(92,Tarifa!$O$13:$O$512,0),"")</f>
        <v/>
      </c>
    </row>
    <row r="103" ht="17" customHeight="1">
      <c r="A103" s="38">
        <f>IF($J103="","",IFERROR(IF(INDEX(Tarifa!$E$13:$E$512,$J103)&amp;""=INDEX(Tarifa!$E$13:$E$512,$J102)&amp;"","",INDEX(Tarifa!$E$13:$E$512,$J103)&amp;""),""))</f>
        <v/>
      </c>
      <c r="B103" s="39">
        <f>IF($J103="","",INDEX(Tarifa!$A$13:$A$512,$J103)&amp;"")</f>
        <v/>
      </c>
      <c r="C103" s="39">
        <f>IF($J103="","",INDEX(Tarifa!$B$13:$B$512,$J103)&amp;"")</f>
        <v/>
      </c>
      <c r="D103" s="39">
        <f>IF($J103="","",INDEX(Tarifa!$C$13:$C$512,$J103)&amp;"")</f>
        <v/>
      </c>
      <c r="E103" s="40">
        <f>IF($J103="","",IF(INDEX(Tarifa!$D$13:$D$512,$J103)="","",INDEX(Tarifa!$D$13:$D$512,$J103)))</f>
        <v/>
      </c>
      <c r="F103" s="41">
        <f>IF(OR($J103="",$J$1=""),"",IF(INDEX(Tarifa!$G$13:$G$512,$J103)="","",IF(NOT(ISNUMBER(INDEX(Tarifa!$G$13:$G$512,$J103))),"Revisa",IF($J$1=1,INDEX(Tarifa!$G$13:$G$512,$J103),ROUND(ROUND(INDEX(Tarifa!$G$13:$G$512,$J103)*(1+$J$2/100)/$J$3,0)*$J$3,2)))))</f>
        <v/>
      </c>
      <c r="G103" s="42">
        <f>IF(OR(NOT(ISNUMBER(F103)),N(E103)&lt;=1),"",ROUND(F103/E103,3))</f>
        <v/>
      </c>
      <c r="H103" s="43">
        <f>IF($J103="","",IF(INDEX(Tarifa!$H$13:$H$512,$J103)="","",INDEX(Tarifa!$H$13:$H$512,$J103)))</f>
        <v/>
      </c>
      <c r="I103" s="41">
        <f>IF(OR($M$3="No",$M$3="",NOT(ISNUMBER(F103))),"",IF(NOT(ISNUMBER(H103)),"Falta IVA",ROUND(F103*(1+(H103+IF($M$3="Con IVA y recargo",IF(H103=21,5.2,IF(H103=10,1.4,IF(H103=4,0.5,0))),0))/100),2)))</f>
        <v/>
      </c>
      <c r="J103">
        <f>IFERROR(MATCH(93,Tarifa!$O$13:$O$512,0),"")</f>
        <v/>
      </c>
    </row>
    <row r="104" ht="17" customHeight="1">
      <c r="A104" s="38">
        <f>IF($J104="","",IFERROR(IF(INDEX(Tarifa!$E$13:$E$512,$J104)&amp;""=INDEX(Tarifa!$E$13:$E$512,$J103)&amp;"","",INDEX(Tarifa!$E$13:$E$512,$J104)&amp;""),""))</f>
        <v/>
      </c>
      <c r="B104" s="39">
        <f>IF($J104="","",INDEX(Tarifa!$A$13:$A$512,$J104)&amp;"")</f>
        <v/>
      </c>
      <c r="C104" s="39">
        <f>IF($J104="","",INDEX(Tarifa!$B$13:$B$512,$J104)&amp;"")</f>
        <v/>
      </c>
      <c r="D104" s="39">
        <f>IF($J104="","",INDEX(Tarifa!$C$13:$C$512,$J104)&amp;"")</f>
        <v/>
      </c>
      <c r="E104" s="40">
        <f>IF($J104="","",IF(INDEX(Tarifa!$D$13:$D$512,$J104)="","",INDEX(Tarifa!$D$13:$D$512,$J104)))</f>
        <v/>
      </c>
      <c r="F104" s="41">
        <f>IF(OR($J104="",$J$1=""),"",IF(INDEX(Tarifa!$G$13:$G$512,$J104)="","",IF(NOT(ISNUMBER(INDEX(Tarifa!$G$13:$G$512,$J104))),"Revisa",IF($J$1=1,INDEX(Tarifa!$G$13:$G$512,$J104),ROUND(ROUND(INDEX(Tarifa!$G$13:$G$512,$J104)*(1+$J$2/100)/$J$3,0)*$J$3,2)))))</f>
        <v/>
      </c>
      <c r="G104" s="42">
        <f>IF(OR(NOT(ISNUMBER(F104)),N(E104)&lt;=1),"",ROUND(F104/E104,3))</f>
        <v/>
      </c>
      <c r="H104" s="43">
        <f>IF($J104="","",IF(INDEX(Tarifa!$H$13:$H$512,$J104)="","",INDEX(Tarifa!$H$13:$H$512,$J104)))</f>
        <v/>
      </c>
      <c r="I104" s="41">
        <f>IF(OR($M$3="No",$M$3="",NOT(ISNUMBER(F104))),"",IF(NOT(ISNUMBER(H104)),"Falta IVA",ROUND(F104*(1+(H104+IF($M$3="Con IVA y recargo",IF(H104=21,5.2,IF(H104=10,1.4,IF(H104=4,0.5,0))),0))/100),2)))</f>
        <v/>
      </c>
      <c r="J104">
        <f>IFERROR(MATCH(94,Tarifa!$O$13:$O$512,0),"")</f>
        <v/>
      </c>
    </row>
    <row r="105" ht="17" customHeight="1">
      <c r="A105" s="38">
        <f>IF($J105="","",IFERROR(IF(INDEX(Tarifa!$E$13:$E$512,$J105)&amp;""=INDEX(Tarifa!$E$13:$E$512,$J104)&amp;"","",INDEX(Tarifa!$E$13:$E$512,$J105)&amp;""),""))</f>
        <v/>
      </c>
      <c r="B105" s="39">
        <f>IF($J105="","",INDEX(Tarifa!$A$13:$A$512,$J105)&amp;"")</f>
        <v/>
      </c>
      <c r="C105" s="39">
        <f>IF($J105="","",INDEX(Tarifa!$B$13:$B$512,$J105)&amp;"")</f>
        <v/>
      </c>
      <c r="D105" s="39">
        <f>IF($J105="","",INDEX(Tarifa!$C$13:$C$512,$J105)&amp;"")</f>
        <v/>
      </c>
      <c r="E105" s="40">
        <f>IF($J105="","",IF(INDEX(Tarifa!$D$13:$D$512,$J105)="","",INDEX(Tarifa!$D$13:$D$512,$J105)))</f>
        <v/>
      </c>
      <c r="F105" s="41">
        <f>IF(OR($J105="",$J$1=""),"",IF(INDEX(Tarifa!$G$13:$G$512,$J105)="","",IF(NOT(ISNUMBER(INDEX(Tarifa!$G$13:$G$512,$J105))),"Revisa",IF($J$1=1,INDEX(Tarifa!$G$13:$G$512,$J105),ROUND(ROUND(INDEX(Tarifa!$G$13:$G$512,$J105)*(1+$J$2/100)/$J$3,0)*$J$3,2)))))</f>
        <v/>
      </c>
      <c r="G105" s="42">
        <f>IF(OR(NOT(ISNUMBER(F105)),N(E105)&lt;=1),"",ROUND(F105/E105,3))</f>
        <v/>
      </c>
      <c r="H105" s="43">
        <f>IF($J105="","",IF(INDEX(Tarifa!$H$13:$H$512,$J105)="","",INDEX(Tarifa!$H$13:$H$512,$J105)))</f>
        <v/>
      </c>
      <c r="I105" s="41">
        <f>IF(OR($M$3="No",$M$3="",NOT(ISNUMBER(F105))),"",IF(NOT(ISNUMBER(H105)),"Falta IVA",ROUND(F105*(1+(H105+IF($M$3="Con IVA y recargo",IF(H105=21,5.2,IF(H105=10,1.4,IF(H105=4,0.5,0))),0))/100),2)))</f>
        <v/>
      </c>
      <c r="J105">
        <f>IFERROR(MATCH(95,Tarifa!$O$13:$O$512,0),"")</f>
        <v/>
      </c>
    </row>
    <row r="106" ht="17" customHeight="1">
      <c r="A106" s="38">
        <f>IF($J106="","",IFERROR(IF(INDEX(Tarifa!$E$13:$E$512,$J106)&amp;""=INDEX(Tarifa!$E$13:$E$512,$J105)&amp;"","",INDEX(Tarifa!$E$13:$E$512,$J106)&amp;""),""))</f>
        <v/>
      </c>
      <c r="B106" s="39">
        <f>IF($J106="","",INDEX(Tarifa!$A$13:$A$512,$J106)&amp;"")</f>
        <v/>
      </c>
      <c r="C106" s="39">
        <f>IF($J106="","",INDEX(Tarifa!$B$13:$B$512,$J106)&amp;"")</f>
        <v/>
      </c>
      <c r="D106" s="39">
        <f>IF($J106="","",INDEX(Tarifa!$C$13:$C$512,$J106)&amp;"")</f>
        <v/>
      </c>
      <c r="E106" s="40">
        <f>IF($J106="","",IF(INDEX(Tarifa!$D$13:$D$512,$J106)="","",INDEX(Tarifa!$D$13:$D$512,$J106)))</f>
        <v/>
      </c>
      <c r="F106" s="41">
        <f>IF(OR($J106="",$J$1=""),"",IF(INDEX(Tarifa!$G$13:$G$512,$J106)="","",IF(NOT(ISNUMBER(INDEX(Tarifa!$G$13:$G$512,$J106))),"Revisa",IF($J$1=1,INDEX(Tarifa!$G$13:$G$512,$J106),ROUND(ROUND(INDEX(Tarifa!$G$13:$G$512,$J106)*(1+$J$2/100)/$J$3,0)*$J$3,2)))))</f>
        <v/>
      </c>
      <c r="G106" s="42">
        <f>IF(OR(NOT(ISNUMBER(F106)),N(E106)&lt;=1),"",ROUND(F106/E106,3))</f>
        <v/>
      </c>
      <c r="H106" s="43">
        <f>IF($J106="","",IF(INDEX(Tarifa!$H$13:$H$512,$J106)="","",INDEX(Tarifa!$H$13:$H$512,$J106)))</f>
        <v/>
      </c>
      <c r="I106" s="41">
        <f>IF(OR($M$3="No",$M$3="",NOT(ISNUMBER(F106))),"",IF(NOT(ISNUMBER(H106)),"Falta IVA",ROUND(F106*(1+(H106+IF($M$3="Con IVA y recargo",IF(H106=21,5.2,IF(H106=10,1.4,IF(H106=4,0.5,0))),0))/100),2)))</f>
        <v/>
      </c>
      <c r="J106">
        <f>IFERROR(MATCH(96,Tarifa!$O$13:$O$512,0),"")</f>
        <v/>
      </c>
    </row>
    <row r="107" ht="17" customHeight="1">
      <c r="A107" s="38">
        <f>IF($J107="","",IFERROR(IF(INDEX(Tarifa!$E$13:$E$512,$J107)&amp;""=INDEX(Tarifa!$E$13:$E$512,$J106)&amp;"","",INDEX(Tarifa!$E$13:$E$512,$J107)&amp;""),""))</f>
        <v/>
      </c>
      <c r="B107" s="39">
        <f>IF($J107="","",INDEX(Tarifa!$A$13:$A$512,$J107)&amp;"")</f>
        <v/>
      </c>
      <c r="C107" s="39">
        <f>IF($J107="","",INDEX(Tarifa!$B$13:$B$512,$J107)&amp;"")</f>
        <v/>
      </c>
      <c r="D107" s="39">
        <f>IF($J107="","",INDEX(Tarifa!$C$13:$C$512,$J107)&amp;"")</f>
        <v/>
      </c>
      <c r="E107" s="40">
        <f>IF($J107="","",IF(INDEX(Tarifa!$D$13:$D$512,$J107)="","",INDEX(Tarifa!$D$13:$D$512,$J107)))</f>
        <v/>
      </c>
      <c r="F107" s="41">
        <f>IF(OR($J107="",$J$1=""),"",IF(INDEX(Tarifa!$G$13:$G$512,$J107)="","",IF(NOT(ISNUMBER(INDEX(Tarifa!$G$13:$G$512,$J107))),"Revisa",IF($J$1=1,INDEX(Tarifa!$G$13:$G$512,$J107),ROUND(ROUND(INDEX(Tarifa!$G$13:$G$512,$J107)*(1+$J$2/100)/$J$3,0)*$J$3,2)))))</f>
        <v/>
      </c>
      <c r="G107" s="42">
        <f>IF(OR(NOT(ISNUMBER(F107)),N(E107)&lt;=1),"",ROUND(F107/E107,3))</f>
        <v/>
      </c>
      <c r="H107" s="43">
        <f>IF($J107="","",IF(INDEX(Tarifa!$H$13:$H$512,$J107)="","",INDEX(Tarifa!$H$13:$H$512,$J107)))</f>
        <v/>
      </c>
      <c r="I107" s="41">
        <f>IF(OR($M$3="No",$M$3="",NOT(ISNUMBER(F107))),"",IF(NOT(ISNUMBER(H107)),"Falta IVA",ROUND(F107*(1+(H107+IF($M$3="Con IVA y recargo",IF(H107=21,5.2,IF(H107=10,1.4,IF(H107=4,0.5,0))),0))/100),2)))</f>
        <v/>
      </c>
      <c r="J107">
        <f>IFERROR(MATCH(97,Tarifa!$O$13:$O$512,0),"")</f>
        <v/>
      </c>
    </row>
    <row r="108" ht="17" customHeight="1">
      <c r="A108" s="38">
        <f>IF($J108="","",IFERROR(IF(INDEX(Tarifa!$E$13:$E$512,$J108)&amp;""=INDEX(Tarifa!$E$13:$E$512,$J107)&amp;"","",INDEX(Tarifa!$E$13:$E$512,$J108)&amp;""),""))</f>
        <v/>
      </c>
      <c r="B108" s="39">
        <f>IF($J108="","",INDEX(Tarifa!$A$13:$A$512,$J108)&amp;"")</f>
        <v/>
      </c>
      <c r="C108" s="39">
        <f>IF($J108="","",INDEX(Tarifa!$B$13:$B$512,$J108)&amp;"")</f>
        <v/>
      </c>
      <c r="D108" s="39">
        <f>IF($J108="","",INDEX(Tarifa!$C$13:$C$512,$J108)&amp;"")</f>
        <v/>
      </c>
      <c r="E108" s="40">
        <f>IF($J108="","",IF(INDEX(Tarifa!$D$13:$D$512,$J108)="","",INDEX(Tarifa!$D$13:$D$512,$J108)))</f>
        <v/>
      </c>
      <c r="F108" s="41">
        <f>IF(OR($J108="",$J$1=""),"",IF(INDEX(Tarifa!$G$13:$G$512,$J108)="","",IF(NOT(ISNUMBER(INDEX(Tarifa!$G$13:$G$512,$J108))),"Revisa",IF($J$1=1,INDEX(Tarifa!$G$13:$G$512,$J108),ROUND(ROUND(INDEX(Tarifa!$G$13:$G$512,$J108)*(1+$J$2/100)/$J$3,0)*$J$3,2)))))</f>
        <v/>
      </c>
      <c r="G108" s="42">
        <f>IF(OR(NOT(ISNUMBER(F108)),N(E108)&lt;=1),"",ROUND(F108/E108,3))</f>
        <v/>
      </c>
      <c r="H108" s="43">
        <f>IF($J108="","",IF(INDEX(Tarifa!$H$13:$H$512,$J108)="","",INDEX(Tarifa!$H$13:$H$512,$J108)))</f>
        <v/>
      </c>
      <c r="I108" s="41">
        <f>IF(OR($M$3="No",$M$3="",NOT(ISNUMBER(F108))),"",IF(NOT(ISNUMBER(H108)),"Falta IVA",ROUND(F108*(1+(H108+IF($M$3="Con IVA y recargo",IF(H108=21,5.2,IF(H108=10,1.4,IF(H108=4,0.5,0))),0))/100),2)))</f>
        <v/>
      </c>
      <c r="J108">
        <f>IFERROR(MATCH(98,Tarifa!$O$13:$O$512,0),"")</f>
        <v/>
      </c>
    </row>
    <row r="109" ht="17" customHeight="1">
      <c r="A109" s="38">
        <f>IF($J109="","",IFERROR(IF(INDEX(Tarifa!$E$13:$E$512,$J109)&amp;""=INDEX(Tarifa!$E$13:$E$512,$J108)&amp;"","",INDEX(Tarifa!$E$13:$E$512,$J109)&amp;""),""))</f>
        <v/>
      </c>
      <c r="B109" s="39">
        <f>IF($J109="","",INDEX(Tarifa!$A$13:$A$512,$J109)&amp;"")</f>
        <v/>
      </c>
      <c r="C109" s="39">
        <f>IF($J109="","",INDEX(Tarifa!$B$13:$B$512,$J109)&amp;"")</f>
        <v/>
      </c>
      <c r="D109" s="39">
        <f>IF($J109="","",INDEX(Tarifa!$C$13:$C$512,$J109)&amp;"")</f>
        <v/>
      </c>
      <c r="E109" s="40">
        <f>IF($J109="","",IF(INDEX(Tarifa!$D$13:$D$512,$J109)="","",INDEX(Tarifa!$D$13:$D$512,$J109)))</f>
        <v/>
      </c>
      <c r="F109" s="41">
        <f>IF(OR($J109="",$J$1=""),"",IF(INDEX(Tarifa!$G$13:$G$512,$J109)="","",IF(NOT(ISNUMBER(INDEX(Tarifa!$G$13:$G$512,$J109))),"Revisa",IF($J$1=1,INDEX(Tarifa!$G$13:$G$512,$J109),ROUND(ROUND(INDEX(Tarifa!$G$13:$G$512,$J109)*(1+$J$2/100)/$J$3,0)*$J$3,2)))))</f>
        <v/>
      </c>
      <c r="G109" s="42">
        <f>IF(OR(NOT(ISNUMBER(F109)),N(E109)&lt;=1),"",ROUND(F109/E109,3))</f>
        <v/>
      </c>
      <c r="H109" s="43">
        <f>IF($J109="","",IF(INDEX(Tarifa!$H$13:$H$512,$J109)="","",INDEX(Tarifa!$H$13:$H$512,$J109)))</f>
        <v/>
      </c>
      <c r="I109" s="41">
        <f>IF(OR($M$3="No",$M$3="",NOT(ISNUMBER(F109))),"",IF(NOT(ISNUMBER(H109)),"Falta IVA",ROUND(F109*(1+(H109+IF($M$3="Con IVA y recargo",IF(H109=21,5.2,IF(H109=10,1.4,IF(H109=4,0.5,0))),0))/100),2)))</f>
        <v/>
      </c>
      <c r="J109">
        <f>IFERROR(MATCH(99,Tarifa!$O$13:$O$512,0),"")</f>
        <v/>
      </c>
    </row>
    <row r="110" ht="17" customHeight="1">
      <c r="A110" s="38">
        <f>IF($J110="","",IFERROR(IF(INDEX(Tarifa!$E$13:$E$512,$J110)&amp;""=INDEX(Tarifa!$E$13:$E$512,$J109)&amp;"","",INDEX(Tarifa!$E$13:$E$512,$J110)&amp;""),""))</f>
        <v/>
      </c>
      <c r="B110" s="39">
        <f>IF($J110="","",INDEX(Tarifa!$A$13:$A$512,$J110)&amp;"")</f>
        <v/>
      </c>
      <c r="C110" s="39">
        <f>IF($J110="","",INDEX(Tarifa!$B$13:$B$512,$J110)&amp;"")</f>
        <v/>
      </c>
      <c r="D110" s="39">
        <f>IF($J110="","",INDEX(Tarifa!$C$13:$C$512,$J110)&amp;"")</f>
        <v/>
      </c>
      <c r="E110" s="40">
        <f>IF($J110="","",IF(INDEX(Tarifa!$D$13:$D$512,$J110)="","",INDEX(Tarifa!$D$13:$D$512,$J110)))</f>
        <v/>
      </c>
      <c r="F110" s="41">
        <f>IF(OR($J110="",$J$1=""),"",IF(INDEX(Tarifa!$G$13:$G$512,$J110)="","",IF(NOT(ISNUMBER(INDEX(Tarifa!$G$13:$G$512,$J110))),"Revisa",IF($J$1=1,INDEX(Tarifa!$G$13:$G$512,$J110),ROUND(ROUND(INDEX(Tarifa!$G$13:$G$512,$J110)*(1+$J$2/100)/$J$3,0)*$J$3,2)))))</f>
        <v/>
      </c>
      <c r="G110" s="42">
        <f>IF(OR(NOT(ISNUMBER(F110)),N(E110)&lt;=1),"",ROUND(F110/E110,3))</f>
        <v/>
      </c>
      <c r="H110" s="43">
        <f>IF($J110="","",IF(INDEX(Tarifa!$H$13:$H$512,$J110)="","",INDEX(Tarifa!$H$13:$H$512,$J110)))</f>
        <v/>
      </c>
      <c r="I110" s="41">
        <f>IF(OR($M$3="No",$M$3="",NOT(ISNUMBER(F110))),"",IF(NOT(ISNUMBER(H110)),"Falta IVA",ROUND(F110*(1+(H110+IF($M$3="Con IVA y recargo",IF(H110=21,5.2,IF(H110=10,1.4,IF(H110=4,0.5,0))),0))/100),2)))</f>
        <v/>
      </c>
      <c r="J110">
        <f>IFERROR(MATCH(100,Tarifa!$O$13:$O$512,0),"")</f>
        <v/>
      </c>
    </row>
    <row r="111" ht="17" customHeight="1">
      <c r="A111" s="38">
        <f>IF($J111="","",IFERROR(IF(INDEX(Tarifa!$E$13:$E$512,$J111)&amp;""=INDEX(Tarifa!$E$13:$E$512,$J110)&amp;"","",INDEX(Tarifa!$E$13:$E$512,$J111)&amp;""),""))</f>
        <v/>
      </c>
      <c r="B111" s="39">
        <f>IF($J111="","",INDEX(Tarifa!$A$13:$A$512,$J111)&amp;"")</f>
        <v/>
      </c>
      <c r="C111" s="39">
        <f>IF($J111="","",INDEX(Tarifa!$B$13:$B$512,$J111)&amp;"")</f>
        <v/>
      </c>
      <c r="D111" s="39">
        <f>IF($J111="","",INDEX(Tarifa!$C$13:$C$512,$J111)&amp;"")</f>
        <v/>
      </c>
      <c r="E111" s="40">
        <f>IF($J111="","",IF(INDEX(Tarifa!$D$13:$D$512,$J111)="","",INDEX(Tarifa!$D$13:$D$512,$J111)))</f>
        <v/>
      </c>
      <c r="F111" s="41">
        <f>IF(OR($J111="",$J$1=""),"",IF(INDEX(Tarifa!$G$13:$G$512,$J111)="","",IF(NOT(ISNUMBER(INDEX(Tarifa!$G$13:$G$512,$J111))),"Revisa",IF($J$1=1,INDEX(Tarifa!$G$13:$G$512,$J111),ROUND(ROUND(INDEX(Tarifa!$G$13:$G$512,$J111)*(1+$J$2/100)/$J$3,0)*$J$3,2)))))</f>
        <v/>
      </c>
      <c r="G111" s="42">
        <f>IF(OR(NOT(ISNUMBER(F111)),N(E111)&lt;=1),"",ROUND(F111/E111,3))</f>
        <v/>
      </c>
      <c r="H111" s="43">
        <f>IF($J111="","",IF(INDEX(Tarifa!$H$13:$H$512,$J111)="","",INDEX(Tarifa!$H$13:$H$512,$J111)))</f>
        <v/>
      </c>
      <c r="I111" s="41">
        <f>IF(OR($M$3="No",$M$3="",NOT(ISNUMBER(F111))),"",IF(NOT(ISNUMBER(H111)),"Falta IVA",ROUND(F111*(1+(H111+IF($M$3="Con IVA y recargo",IF(H111=21,5.2,IF(H111=10,1.4,IF(H111=4,0.5,0))),0))/100),2)))</f>
        <v/>
      </c>
      <c r="J111">
        <f>IFERROR(MATCH(101,Tarifa!$O$13:$O$512,0),"")</f>
        <v/>
      </c>
    </row>
    <row r="112" ht="17" customHeight="1">
      <c r="A112" s="38">
        <f>IF($J112="","",IFERROR(IF(INDEX(Tarifa!$E$13:$E$512,$J112)&amp;""=INDEX(Tarifa!$E$13:$E$512,$J111)&amp;"","",INDEX(Tarifa!$E$13:$E$512,$J112)&amp;""),""))</f>
        <v/>
      </c>
      <c r="B112" s="39">
        <f>IF($J112="","",INDEX(Tarifa!$A$13:$A$512,$J112)&amp;"")</f>
        <v/>
      </c>
      <c r="C112" s="39">
        <f>IF($J112="","",INDEX(Tarifa!$B$13:$B$512,$J112)&amp;"")</f>
        <v/>
      </c>
      <c r="D112" s="39">
        <f>IF($J112="","",INDEX(Tarifa!$C$13:$C$512,$J112)&amp;"")</f>
        <v/>
      </c>
      <c r="E112" s="40">
        <f>IF($J112="","",IF(INDEX(Tarifa!$D$13:$D$512,$J112)="","",INDEX(Tarifa!$D$13:$D$512,$J112)))</f>
        <v/>
      </c>
      <c r="F112" s="41">
        <f>IF(OR($J112="",$J$1=""),"",IF(INDEX(Tarifa!$G$13:$G$512,$J112)="","",IF(NOT(ISNUMBER(INDEX(Tarifa!$G$13:$G$512,$J112))),"Revisa",IF($J$1=1,INDEX(Tarifa!$G$13:$G$512,$J112),ROUND(ROUND(INDEX(Tarifa!$G$13:$G$512,$J112)*(1+$J$2/100)/$J$3,0)*$J$3,2)))))</f>
        <v/>
      </c>
      <c r="G112" s="42">
        <f>IF(OR(NOT(ISNUMBER(F112)),N(E112)&lt;=1),"",ROUND(F112/E112,3))</f>
        <v/>
      </c>
      <c r="H112" s="43">
        <f>IF($J112="","",IF(INDEX(Tarifa!$H$13:$H$512,$J112)="","",INDEX(Tarifa!$H$13:$H$512,$J112)))</f>
        <v/>
      </c>
      <c r="I112" s="41">
        <f>IF(OR($M$3="No",$M$3="",NOT(ISNUMBER(F112))),"",IF(NOT(ISNUMBER(H112)),"Falta IVA",ROUND(F112*(1+(H112+IF($M$3="Con IVA y recargo",IF(H112=21,5.2,IF(H112=10,1.4,IF(H112=4,0.5,0))),0))/100),2)))</f>
        <v/>
      </c>
      <c r="J112">
        <f>IFERROR(MATCH(102,Tarifa!$O$13:$O$512,0),"")</f>
        <v/>
      </c>
    </row>
    <row r="113" ht="17" customHeight="1">
      <c r="A113" s="38">
        <f>IF($J113="","",IFERROR(IF(INDEX(Tarifa!$E$13:$E$512,$J113)&amp;""=INDEX(Tarifa!$E$13:$E$512,$J112)&amp;"","",INDEX(Tarifa!$E$13:$E$512,$J113)&amp;""),""))</f>
        <v/>
      </c>
      <c r="B113" s="39">
        <f>IF($J113="","",INDEX(Tarifa!$A$13:$A$512,$J113)&amp;"")</f>
        <v/>
      </c>
      <c r="C113" s="39">
        <f>IF($J113="","",INDEX(Tarifa!$B$13:$B$512,$J113)&amp;"")</f>
        <v/>
      </c>
      <c r="D113" s="39">
        <f>IF($J113="","",INDEX(Tarifa!$C$13:$C$512,$J113)&amp;"")</f>
        <v/>
      </c>
      <c r="E113" s="40">
        <f>IF($J113="","",IF(INDEX(Tarifa!$D$13:$D$512,$J113)="","",INDEX(Tarifa!$D$13:$D$512,$J113)))</f>
        <v/>
      </c>
      <c r="F113" s="41">
        <f>IF(OR($J113="",$J$1=""),"",IF(INDEX(Tarifa!$G$13:$G$512,$J113)="","",IF(NOT(ISNUMBER(INDEX(Tarifa!$G$13:$G$512,$J113))),"Revisa",IF($J$1=1,INDEX(Tarifa!$G$13:$G$512,$J113),ROUND(ROUND(INDEX(Tarifa!$G$13:$G$512,$J113)*(1+$J$2/100)/$J$3,0)*$J$3,2)))))</f>
        <v/>
      </c>
      <c r="G113" s="42">
        <f>IF(OR(NOT(ISNUMBER(F113)),N(E113)&lt;=1),"",ROUND(F113/E113,3))</f>
        <v/>
      </c>
      <c r="H113" s="43">
        <f>IF($J113="","",IF(INDEX(Tarifa!$H$13:$H$512,$J113)="","",INDEX(Tarifa!$H$13:$H$512,$J113)))</f>
        <v/>
      </c>
      <c r="I113" s="41">
        <f>IF(OR($M$3="No",$M$3="",NOT(ISNUMBER(F113))),"",IF(NOT(ISNUMBER(H113)),"Falta IVA",ROUND(F113*(1+(H113+IF($M$3="Con IVA y recargo",IF(H113=21,5.2,IF(H113=10,1.4,IF(H113=4,0.5,0))),0))/100),2)))</f>
        <v/>
      </c>
      <c r="J113">
        <f>IFERROR(MATCH(103,Tarifa!$O$13:$O$512,0),"")</f>
        <v/>
      </c>
    </row>
    <row r="114" ht="17" customHeight="1">
      <c r="A114" s="38">
        <f>IF($J114="","",IFERROR(IF(INDEX(Tarifa!$E$13:$E$512,$J114)&amp;""=INDEX(Tarifa!$E$13:$E$512,$J113)&amp;"","",INDEX(Tarifa!$E$13:$E$512,$J114)&amp;""),""))</f>
        <v/>
      </c>
      <c r="B114" s="39">
        <f>IF($J114="","",INDEX(Tarifa!$A$13:$A$512,$J114)&amp;"")</f>
        <v/>
      </c>
      <c r="C114" s="39">
        <f>IF($J114="","",INDEX(Tarifa!$B$13:$B$512,$J114)&amp;"")</f>
        <v/>
      </c>
      <c r="D114" s="39">
        <f>IF($J114="","",INDEX(Tarifa!$C$13:$C$512,$J114)&amp;"")</f>
        <v/>
      </c>
      <c r="E114" s="40">
        <f>IF($J114="","",IF(INDEX(Tarifa!$D$13:$D$512,$J114)="","",INDEX(Tarifa!$D$13:$D$512,$J114)))</f>
        <v/>
      </c>
      <c r="F114" s="41">
        <f>IF(OR($J114="",$J$1=""),"",IF(INDEX(Tarifa!$G$13:$G$512,$J114)="","",IF(NOT(ISNUMBER(INDEX(Tarifa!$G$13:$G$512,$J114))),"Revisa",IF($J$1=1,INDEX(Tarifa!$G$13:$G$512,$J114),ROUND(ROUND(INDEX(Tarifa!$G$13:$G$512,$J114)*(1+$J$2/100)/$J$3,0)*$J$3,2)))))</f>
        <v/>
      </c>
      <c r="G114" s="42">
        <f>IF(OR(NOT(ISNUMBER(F114)),N(E114)&lt;=1),"",ROUND(F114/E114,3))</f>
        <v/>
      </c>
      <c r="H114" s="43">
        <f>IF($J114="","",IF(INDEX(Tarifa!$H$13:$H$512,$J114)="","",INDEX(Tarifa!$H$13:$H$512,$J114)))</f>
        <v/>
      </c>
      <c r="I114" s="41">
        <f>IF(OR($M$3="No",$M$3="",NOT(ISNUMBER(F114))),"",IF(NOT(ISNUMBER(H114)),"Falta IVA",ROUND(F114*(1+(H114+IF($M$3="Con IVA y recargo",IF(H114=21,5.2,IF(H114=10,1.4,IF(H114=4,0.5,0))),0))/100),2)))</f>
        <v/>
      </c>
      <c r="J114">
        <f>IFERROR(MATCH(104,Tarifa!$O$13:$O$512,0),"")</f>
        <v/>
      </c>
    </row>
    <row r="115" ht="17" customHeight="1">
      <c r="A115" s="38">
        <f>IF($J115="","",IFERROR(IF(INDEX(Tarifa!$E$13:$E$512,$J115)&amp;""=INDEX(Tarifa!$E$13:$E$512,$J114)&amp;"","",INDEX(Tarifa!$E$13:$E$512,$J115)&amp;""),""))</f>
        <v/>
      </c>
      <c r="B115" s="39">
        <f>IF($J115="","",INDEX(Tarifa!$A$13:$A$512,$J115)&amp;"")</f>
        <v/>
      </c>
      <c r="C115" s="39">
        <f>IF($J115="","",INDEX(Tarifa!$B$13:$B$512,$J115)&amp;"")</f>
        <v/>
      </c>
      <c r="D115" s="39">
        <f>IF($J115="","",INDEX(Tarifa!$C$13:$C$512,$J115)&amp;"")</f>
        <v/>
      </c>
      <c r="E115" s="40">
        <f>IF($J115="","",IF(INDEX(Tarifa!$D$13:$D$512,$J115)="","",INDEX(Tarifa!$D$13:$D$512,$J115)))</f>
        <v/>
      </c>
      <c r="F115" s="41">
        <f>IF(OR($J115="",$J$1=""),"",IF(INDEX(Tarifa!$G$13:$G$512,$J115)="","",IF(NOT(ISNUMBER(INDEX(Tarifa!$G$13:$G$512,$J115))),"Revisa",IF($J$1=1,INDEX(Tarifa!$G$13:$G$512,$J115),ROUND(ROUND(INDEX(Tarifa!$G$13:$G$512,$J115)*(1+$J$2/100)/$J$3,0)*$J$3,2)))))</f>
        <v/>
      </c>
      <c r="G115" s="42">
        <f>IF(OR(NOT(ISNUMBER(F115)),N(E115)&lt;=1),"",ROUND(F115/E115,3))</f>
        <v/>
      </c>
      <c r="H115" s="43">
        <f>IF($J115="","",IF(INDEX(Tarifa!$H$13:$H$512,$J115)="","",INDEX(Tarifa!$H$13:$H$512,$J115)))</f>
        <v/>
      </c>
      <c r="I115" s="41">
        <f>IF(OR($M$3="No",$M$3="",NOT(ISNUMBER(F115))),"",IF(NOT(ISNUMBER(H115)),"Falta IVA",ROUND(F115*(1+(H115+IF($M$3="Con IVA y recargo",IF(H115=21,5.2,IF(H115=10,1.4,IF(H115=4,0.5,0))),0))/100),2)))</f>
        <v/>
      </c>
      <c r="J115">
        <f>IFERROR(MATCH(105,Tarifa!$O$13:$O$512,0),"")</f>
        <v/>
      </c>
    </row>
    <row r="116" ht="17" customHeight="1">
      <c r="A116" s="38">
        <f>IF($J116="","",IFERROR(IF(INDEX(Tarifa!$E$13:$E$512,$J116)&amp;""=INDEX(Tarifa!$E$13:$E$512,$J115)&amp;"","",INDEX(Tarifa!$E$13:$E$512,$J116)&amp;""),""))</f>
        <v/>
      </c>
      <c r="B116" s="39">
        <f>IF($J116="","",INDEX(Tarifa!$A$13:$A$512,$J116)&amp;"")</f>
        <v/>
      </c>
      <c r="C116" s="39">
        <f>IF($J116="","",INDEX(Tarifa!$B$13:$B$512,$J116)&amp;"")</f>
        <v/>
      </c>
      <c r="D116" s="39">
        <f>IF($J116="","",INDEX(Tarifa!$C$13:$C$512,$J116)&amp;"")</f>
        <v/>
      </c>
      <c r="E116" s="40">
        <f>IF($J116="","",IF(INDEX(Tarifa!$D$13:$D$512,$J116)="","",INDEX(Tarifa!$D$13:$D$512,$J116)))</f>
        <v/>
      </c>
      <c r="F116" s="41">
        <f>IF(OR($J116="",$J$1=""),"",IF(INDEX(Tarifa!$G$13:$G$512,$J116)="","",IF(NOT(ISNUMBER(INDEX(Tarifa!$G$13:$G$512,$J116))),"Revisa",IF($J$1=1,INDEX(Tarifa!$G$13:$G$512,$J116),ROUND(ROUND(INDEX(Tarifa!$G$13:$G$512,$J116)*(1+$J$2/100)/$J$3,0)*$J$3,2)))))</f>
        <v/>
      </c>
      <c r="G116" s="42">
        <f>IF(OR(NOT(ISNUMBER(F116)),N(E116)&lt;=1),"",ROUND(F116/E116,3))</f>
        <v/>
      </c>
      <c r="H116" s="43">
        <f>IF($J116="","",IF(INDEX(Tarifa!$H$13:$H$512,$J116)="","",INDEX(Tarifa!$H$13:$H$512,$J116)))</f>
        <v/>
      </c>
      <c r="I116" s="41">
        <f>IF(OR($M$3="No",$M$3="",NOT(ISNUMBER(F116))),"",IF(NOT(ISNUMBER(H116)),"Falta IVA",ROUND(F116*(1+(H116+IF($M$3="Con IVA y recargo",IF(H116=21,5.2,IF(H116=10,1.4,IF(H116=4,0.5,0))),0))/100),2)))</f>
        <v/>
      </c>
      <c r="J116">
        <f>IFERROR(MATCH(106,Tarifa!$O$13:$O$512,0),"")</f>
        <v/>
      </c>
    </row>
    <row r="117" ht="17" customHeight="1">
      <c r="A117" s="38">
        <f>IF($J117="","",IFERROR(IF(INDEX(Tarifa!$E$13:$E$512,$J117)&amp;""=INDEX(Tarifa!$E$13:$E$512,$J116)&amp;"","",INDEX(Tarifa!$E$13:$E$512,$J117)&amp;""),""))</f>
        <v/>
      </c>
      <c r="B117" s="39">
        <f>IF($J117="","",INDEX(Tarifa!$A$13:$A$512,$J117)&amp;"")</f>
        <v/>
      </c>
      <c r="C117" s="39">
        <f>IF($J117="","",INDEX(Tarifa!$B$13:$B$512,$J117)&amp;"")</f>
        <v/>
      </c>
      <c r="D117" s="39">
        <f>IF($J117="","",INDEX(Tarifa!$C$13:$C$512,$J117)&amp;"")</f>
        <v/>
      </c>
      <c r="E117" s="40">
        <f>IF($J117="","",IF(INDEX(Tarifa!$D$13:$D$512,$J117)="","",INDEX(Tarifa!$D$13:$D$512,$J117)))</f>
        <v/>
      </c>
      <c r="F117" s="41">
        <f>IF(OR($J117="",$J$1=""),"",IF(INDEX(Tarifa!$G$13:$G$512,$J117)="","",IF(NOT(ISNUMBER(INDEX(Tarifa!$G$13:$G$512,$J117))),"Revisa",IF($J$1=1,INDEX(Tarifa!$G$13:$G$512,$J117),ROUND(ROUND(INDEX(Tarifa!$G$13:$G$512,$J117)*(1+$J$2/100)/$J$3,0)*$J$3,2)))))</f>
        <v/>
      </c>
      <c r="G117" s="42">
        <f>IF(OR(NOT(ISNUMBER(F117)),N(E117)&lt;=1),"",ROUND(F117/E117,3))</f>
        <v/>
      </c>
      <c r="H117" s="43">
        <f>IF($J117="","",IF(INDEX(Tarifa!$H$13:$H$512,$J117)="","",INDEX(Tarifa!$H$13:$H$512,$J117)))</f>
        <v/>
      </c>
      <c r="I117" s="41">
        <f>IF(OR($M$3="No",$M$3="",NOT(ISNUMBER(F117))),"",IF(NOT(ISNUMBER(H117)),"Falta IVA",ROUND(F117*(1+(H117+IF($M$3="Con IVA y recargo",IF(H117=21,5.2,IF(H117=10,1.4,IF(H117=4,0.5,0))),0))/100),2)))</f>
        <v/>
      </c>
      <c r="J117">
        <f>IFERROR(MATCH(107,Tarifa!$O$13:$O$512,0),"")</f>
        <v/>
      </c>
    </row>
    <row r="118" ht="17" customHeight="1">
      <c r="A118" s="38">
        <f>IF($J118="","",IFERROR(IF(INDEX(Tarifa!$E$13:$E$512,$J118)&amp;""=INDEX(Tarifa!$E$13:$E$512,$J117)&amp;"","",INDEX(Tarifa!$E$13:$E$512,$J118)&amp;""),""))</f>
        <v/>
      </c>
      <c r="B118" s="39">
        <f>IF($J118="","",INDEX(Tarifa!$A$13:$A$512,$J118)&amp;"")</f>
        <v/>
      </c>
      <c r="C118" s="39">
        <f>IF($J118="","",INDEX(Tarifa!$B$13:$B$512,$J118)&amp;"")</f>
        <v/>
      </c>
      <c r="D118" s="39">
        <f>IF($J118="","",INDEX(Tarifa!$C$13:$C$512,$J118)&amp;"")</f>
        <v/>
      </c>
      <c r="E118" s="40">
        <f>IF($J118="","",IF(INDEX(Tarifa!$D$13:$D$512,$J118)="","",INDEX(Tarifa!$D$13:$D$512,$J118)))</f>
        <v/>
      </c>
      <c r="F118" s="41">
        <f>IF(OR($J118="",$J$1=""),"",IF(INDEX(Tarifa!$G$13:$G$512,$J118)="","",IF(NOT(ISNUMBER(INDEX(Tarifa!$G$13:$G$512,$J118))),"Revisa",IF($J$1=1,INDEX(Tarifa!$G$13:$G$512,$J118),ROUND(ROUND(INDEX(Tarifa!$G$13:$G$512,$J118)*(1+$J$2/100)/$J$3,0)*$J$3,2)))))</f>
        <v/>
      </c>
      <c r="G118" s="42">
        <f>IF(OR(NOT(ISNUMBER(F118)),N(E118)&lt;=1),"",ROUND(F118/E118,3))</f>
        <v/>
      </c>
      <c r="H118" s="43">
        <f>IF($J118="","",IF(INDEX(Tarifa!$H$13:$H$512,$J118)="","",INDEX(Tarifa!$H$13:$H$512,$J118)))</f>
        <v/>
      </c>
      <c r="I118" s="41">
        <f>IF(OR($M$3="No",$M$3="",NOT(ISNUMBER(F118))),"",IF(NOT(ISNUMBER(H118)),"Falta IVA",ROUND(F118*(1+(H118+IF($M$3="Con IVA y recargo",IF(H118=21,5.2,IF(H118=10,1.4,IF(H118=4,0.5,0))),0))/100),2)))</f>
        <v/>
      </c>
      <c r="J118">
        <f>IFERROR(MATCH(108,Tarifa!$O$13:$O$512,0),"")</f>
        <v/>
      </c>
    </row>
    <row r="119" ht="17" customHeight="1">
      <c r="A119" s="38">
        <f>IF($J119="","",IFERROR(IF(INDEX(Tarifa!$E$13:$E$512,$J119)&amp;""=INDEX(Tarifa!$E$13:$E$512,$J118)&amp;"","",INDEX(Tarifa!$E$13:$E$512,$J119)&amp;""),""))</f>
        <v/>
      </c>
      <c r="B119" s="39">
        <f>IF($J119="","",INDEX(Tarifa!$A$13:$A$512,$J119)&amp;"")</f>
        <v/>
      </c>
      <c r="C119" s="39">
        <f>IF($J119="","",INDEX(Tarifa!$B$13:$B$512,$J119)&amp;"")</f>
        <v/>
      </c>
      <c r="D119" s="39">
        <f>IF($J119="","",INDEX(Tarifa!$C$13:$C$512,$J119)&amp;"")</f>
        <v/>
      </c>
      <c r="E119" s="40">
        <f>IF($J119="","",IF(INDEX(Tarifa!$D$13:$D$512,$J119)="","",INDEX(Tarifa!$D$13:$D$512,$J119)))</f>
        <v/>
      </c>
      <c r="F119" s="41">
        <f>IF(OR($J119="",$J$1=""),"",IF(INDEX(Tarifa!$G$13:$G$512,$J119)="","",IF(NOT(ISNUMBER(INDEX(Tarifa!$G$13:$G$512,$J119))),"Revisa",IF($J$1=1,INDEX(Tarifa!$G$13:$G$512,$J119),ROUND(ROUND(INDEX(Tarifa!$G$13:$G$512,$J119)*(1+$J$2/100)/$J$3,0)*$J$3,2)))))</f>
        <v/>
      </c>
      <c r="G119" s="42">
        <f>IF(OR(NOT(ISNUMBER(F119)),N(E119)&lt;=1),"",ROUND(F119/E119,3))</f>
        <v/>
      </c>
      <c r="H119" s="43">
        <f>IF($J119="","",IF(INDEX(Tarifa!$H$13:$H$512,$J119)="","",INDEX(Tarifa!$H$13:$H$512,$J119)))</f>
        <v/>
      </c>
      <c r="I119" s="41">
        <f>IF(OR($M$3="No",$M$3="",NOT(ISNUMBER(F119))),"",IF(NOT(ISNUMBER(H119)),"Falta IVA",ROUND(F119*(1+(H119+IF($M$3="Con IVA y recargo",IF(H119=21,5.2,IF(H119=10,1.4,IF(H119=4,0.5,0))),0))/100),2)))</f>
        <v/>
      </c>
      <c r="J119">
        <f>IFERROR(MATCH(109,Tarifa!$O$13:$O$512,0),"")</f>
        <v/>
      </c>
    </row>
    <row r="120" ht="17" customHeight="1">
      <c r="A120" s="38">
        <f>IF($J120="","",IFERROR(IF(INDEX(Tarifa!$E$13:$E$512,$J120)&amp;""=INDEX(Tarifa!$E$13:$E$512,$J119)&amp;"","",INDEX(Tarifa!$E$13:$E$512,$J120)&amp;""),""))</f>
        <v/>
      </c>
      <c r="B120" s="39">
        <f>IF($J120="","",INDEX(Tarifa!$A$13:$A$512,$J120)&amp;"")</f>
        <v/>
      </c>
      <c r="C120" s="39">
        <f>IF($J120="","",INDEX(Tarifa!$B$13:$B$512,$J120)&amp;"")</f>
        <v/>
      </c>
      <c r="D120" s="39">
        <f>IF($J120="","",INDEX(Tarifa!$C$13:$C$512,$J120)&amp;"")</f>
        <v/>
      </c>
      <c r="E120" s="40">
        <f>IF($J120="","",IF(INDEX(Tarifa!$D$13:$D$512,$J120)="","",INDEX(Tarifa!$D$13:$D$512,$J120)))</f>
        <v/>
      </c>
      <c r="F120" s="41">
        <f>IF(OR($J120="",$J$1=""),"",IF(INDEX(Tarifa!$G$13:$G$512,$J120)="","",IF(NOT(ISNUMBER(INDEX(Tarifa!$G$13:$G$512,$J120))),"Revisa",IF($J$1=1,INDEX(Tarifa!$G$13:$G$512,$J120),ROUND(ROUND(INDEX(Tarifa!$G$13:$G$512,$J120)*(1+$J$2/100)/$J$3,0)*$J$3,2)))))</f>
        <v/>
      </c>
      <c r="G120" s="42">
        <f>IF(OR(NOT(ISNUMBER(F120)),N(E120)&lt;=1),"",ROUND(F120/E120,3))</f>
        <v/>
      </c>
      <c r="H120" s="43">
        <f>IF($J120="","",IF(INDEX(Tarifa!$H$13:$H$512,$J120)="","",INDEX(Tarifa!$H$13:$H$512,$J120)))</f>
        <v/>
      </c>
      <c r="I120" s="41">
        <f>IF(OR($M$3="No",$M$3="",NOT(ISNUMBER(F120))),"",IF(NOT(ISNUMBER(H120)),"Falta IVA",ROUND(F120*(1+(H120+IF($M$3="Con IVA y recargo",IF(H120=21,5.2,IF(H120=10,1.4,IF(H120=4,0.5,0))),0))/100),2)))</f>
        <v/>
      </c>
      <c r="J120">
        <f>IFERROR(MATCH(110,Tarifa!$O$13:$O$512,0),"")</f>
        <v/>
      </c>
    </row>
    <row r="121" ht="17" customHeight="1">
      <c r="A121" s="38">
        <f>IF($J121="","",IFERROR(IF(INDEX(Tarifa!$E$13:$E$512,$J121)&amp;""=INDEX(Tarifa!$E$13:$E$512,$J120)&amp;"","",INDEX(Tarifa!$E$13:$E$512,$J121)&amp;""),""))</f>
        <v/>
      </c>
      <c r="B121" s="39">
        <f>IF($J121="","",INDEX(Tarifa!$A$13:$A$512,$J121)&amp;"")</f>
        <v/>
      </c>
      <c r="C121" s="39">
        <f>IF($J121="","",INDEX(Tarifa!$B$13:$B$512,$J121)&amp;"")</f>
        <v/>
      </c>
      <c r="D121" s="39">
        <f>IF($J121="","",INDEX(Tarifa!$C$13:$C$512,$J121)&amp;"")</f>
        <v/>
      </c>
      <c r="E121" s="40">
        <f>IF($J121="","",IF(INDEX(Tarifa!$D$13:$D$512,$J121)="","",INDEX(Tarifa!$D$13:$D$512,$J121)))</f>
        <v/>
      </c>
      <c r="F121" s="41">
        <f>IF(OR($J121="",$J$1=""),"",IF(INDEX(Tarifa!$G$13:$G$512,$J121)="","",IF(NOT(ISNUMBER(INDEX(Tarifa!$G$13:$G$512,$J121))),"Revisa",IF($J$1=1,INDEX(Tarifa!$G$13:$G$512,$J121),ROUND(ROUND(INDEX(Tarifa!$G$13:$G$512,$J121)*(1+$J$2/100)/$J$3,0)*$J$3,2)))))</f>
        <v/>
      </c>
      <c r="G121" s="42">
        <f>IF(OR(NOT(ISNUMBER(F121)),N(E121)&lt;=1),"",ROUND(F121/E121,3))</f>
        <v/>
      </c>
      <c r="H121" s="43">
        <f>IF($J121="","",IF(INDEX(Tarifa!$H$13:$H$512,$J121)="","",INDEX(Tarifa!$H$13:$H$512,$J121)))</f>
        <v/>
      </c>
      <c r="I121" s="41">
        <f>IF(OR($M$3="No",$M$3="",NOT(ISNUMBER(F121))),"",IF(NOT(ISNUMBER(H121)),"Falta IVA",ROUND(F121*(1+(H121+IF($M$3="Con IVA y recargo",IF(H121=21,5.2,IF(H121=10,1.4,IF(H121=4,0.5,0))),0))/100),2)))</f>
        <v/>
      </c>
      <c r="J121">
        <f>IFERROR(MATCH(111,Tarifa!$O$13:$O$512,0),"")</f>
        <v/>
      </c>
    </row>
    <row r="122" ht="17" customHeight="1">
      <c r="A122" s="38">
        <f>IF($J122="","",IFERROR(IF(INDEX(Tarifa!$E$13:$E$512,$J122)&amp;""=INDEX(Tarifa!$E$13:$E$512,$J121)&amp;"","",INDEX(Tarifa!$E$13:$E$512,$J122)&amp;""),""))</f>
        <v/>
      </c>
      <c r="B122" s="39">
        <f>IF($J122="","",INDEX(Tarifa!$A$13:$A$512,$J122)&amp;"")</f>
        <v/>
      </c>
      <c r="C122" s="39">
        <f>IF($J122="","",INDEX(Tarifa!$B$13:$B$512,$J122)&amp;"")</f>
        <v/>
      </c>
      <c r="D122" s="39">
        <f>IF($J122="","",INDEX(Tarifa!$C$13:$C$512,$J122)&amp;"")</f>
        <v/>
      </c>
      <c r="E122" s="40">
        <f>IF($J122="","",IF(INDEX(Tarifa!$D$13:$D$512,$J122)="","",INDEX(Tarifa!$D$13:$D$512,$J122)))</f>
        <v/>
      </c>
      <c r="F122" s="41">
        <f>IF(OR($J122="",$J$1=""),"",IF(INDEX(Tarifa!$G$13:$G$512,$J122)="","",IF(NOT(ISNUMBER(INDEX(Tarifa!$G$13:$G$512,$J122))),"Revisa",IF($J$1=1,INDEX(Tarifa!$G$13:$G$512,$J122),ROUND(ROUND(INDEX(Tarifa!$G$13:$G$512,$J122)*(1+$J$2/100)/$J$3,0)*$J$3,2)))))</f>
        <v/>
      </c>
      <c r="G122" s="42">
        <f>IF(OR(NOT(ISNUMBER(F122)),N(E122)&lt;=1),"",ROUND(F122/E122,3))</f>
        <v/>
      </c>
      <c r="H122" s="43">
        <f>IF($J122="","",IF(INDEX(Tarifa!$H$13:$H$512,$J122)="","",INDEX(Tarifa!$H$13:$H$512,$J122)))</f>
        <v/>
      </c>
      <c r="I122" s="41">
        <f>IF(OR($M$3="No",$M$3="",NOT(ISNUMBER(F122))),"",IF(NOT(ISNUMBER(H122)),"Falta IVA",ROUND(F122*(1+(H122+IF($M$3="Con IVA y recargo",IF(H122=21,5.2,IF(H122=10,1.4,IF(H122=4,0.5,0))),0))/100),2)))</f>
        <v/>
      </c>
      <c r="J122">
        <f>IFERROR(MATCH(112,Tarifa!$O$13:$O$512,0),"")</f>
        <v/>
      </c>
    </row>
    <row r="123" ht="17" customHeight="1">
      <c r="A123" s="38">
        <f>IF($J123="","",IFERROR(IF(INDEX(Tarifa!$E$13:$E$512,$J123)&amp;""=INDEX(Tarifa!$E$13:$E$512,$J122)&amp;"","",INDEX(Tarifa!$E$13:$E$512,$J123)&amp;""),""))</f>
        <v/>
      </c>
      <c r="B123" s="39">
        <f>IF($J123="","",INDEX(Tarifa!$A$13:$A$512,$J123)&amp;"")</f>
        <v/>
      </c>
      <c r="C123" s="39">
        <f>IF($J123="","",INDEX(Tarifa!$B$13:$B$512,$J123)&amp;"")</f>
        <v/>
      </c>
      <c r="D123" s="39">
        <f>IF($J123="","",INDEX(Tarifa!$C$13:$C$512,$J123)&amp;"")</f>
        <v/>
      </c>
      <c r="E123" s="40">
        <f>IF($J123="","",IF(INDEX(Tarifa!$D$13:$D$512,$J123)="","",INDEX(Tarifa!$D$13:$D$512,$J123)))</f>
        <v/>
      </c>
      <c r="F123" s="41">
        <f>IF(OR($J123="",$J$1=""),"",IF(INDEX(Tarifa!$G$13:$G$512,$J123)="","",IF(NOT(ISNUMBER(INDEX(Tarifa!$G$13:$G$512,$J123))),"Revisa",IF($J$1=1,INDEX(Tarifa!$G$13:$G$512,$J123),ROUND(ROUND(INDEX(Tarifa!$G$13:$G$512,$J123)*(1+$J$2/100)/$J$3,0)*$J$3,2)))))</f>
        <v/>
      </c>
      <c r="G123" s="42">
        <f>IF(OR(NOT(ISNUMBER(F123)),N(E123)&lt;=1),"",ROUND(F123/E123,3))</f>
        <v/>
      </c>
      <c r="H123" s="43">
        <f>IF($J123="","",IF(INDEX(Tarifa!$H$13:$H$512,$J123)="","",INDEX(Tarifa!$H$13:$H$512,$J123)))</f>
        <v/>
      </c>
      <c r="I123" s="41">
        <f>IF(OR($M$3="No",$M$3="",NOT(ISNUMBER(F123))),"",IF(NOT(ISNUMBER(H123)),"Falta IVA",ROUND(F123*(1+(H123+IF($M$3="Con IVA y recargo",IF(H123=21,5.2,IF(H123=10,1.4,IF(H123=4,0.5,0))),0))/100),2)))</f>
        <v/>
      </c>
      <c r="J123">
        <f>IFERROR(MATCH(113,Tarifa!$O$13:$O$512,0),"")</f>
        <v/>
      </c>
    </row>
    <row r="124" ht="17" customHeight="1">
      <c r="A124" s="38">
        <f>IF($J124="","",IFERROR(IF(INDEX(Tarifa!$E$13:$E$512,$J124)&amp;""=INDEX(Tarifa!$E$13:$E$512,$J123)&amp;"","",INDEX(Tarifa!$E$13:$E$512,$J124)&amp;""),""))</f>
        <v/>
      </c>
      <c r="B124" s="39">
        <f>IF($J124="","",INDEX(Tarifa!$A$13:$A$512,$J124)&amp;"")</f>
        <v/>
      </c>
      <c r="C124" s="39">
        <f>IF($J124="","",INDEX(Tarifa!$B$13:$B$512,$J124)&amp;"")</f>
        <v/>
      </c>
      <c r="D124" s="39">
        <f>IF($J124="","",INDEX(Tarifa!$C$13:$C$512,$J124)&amp;"")</f>
        <v/>
      </c>
      <c r="E124" s="40">
        <f>IF($J124="","",IF(INDEX(Tarifa!$D$13:$D$512,$J124)="","",INDEX(Tarifa!$D$13:$D$512,$J124)))</f>
        <v/>
      </c>
      <c r="F124" s="41">
        <f>IF(OR($J124="",$J$1=""),"",IF(INDEX(Tarifa!$G$13:$G$512,$J124)="","",IF(NOT(ISNUMBER(INDEX(Tarifa!$G$13:$G$512,$J124))),"Revisa",IF($J$1=1,INDEX(Tarifa!$G$13:$G$512,$J124),ROUND(ROUND(INDEX(Tarifa!$G$13:$G$512,$J124)*(1+$J$2/100)/$J$3,0)*$J$3,2)))))</f>
        <v/>
      </c>
      <c r="G124" s="42">
        <f>IF(OR(NOT(ISNUMBER(F124)),N(E124)&lt;=1),"",ROUND(F124/E124,3))</f>
        <v/>
      </c>
      <c r="H124" s="43">
        <f>IF($J124="","",IF(INDEX(Tarifa!$H$13:$H$512,$J124)="","",INDEX(Tarifa!$H$13:$H$512,$J124)))</f>
        <v/>
      </c>
      <c r="I124" s="41">
        <f>IF(OR($M$3="No",$M$3="",NOT(ISNUMBER(F124))),"",IF(NOT(ISNUMBER(H124)),"Falta IVA",ROUND(F124*(1+(H124+IF($M$3="Con IVA y recargo",IF(H124=21,5.2,IF(H124=10,1.4,IF(H124=4,0.5,0))),0))/100),2)))</f>
        <v/>
      </c>
      <c r="J124">
        <f>IFERROR(MATCH(114,Tarifa!$O$13:$O$512,0),"")</f>
        <v/>
      </c>
    </row>
    <row r="125" ht="17" customHeight="1">
      <c r="A125" s="38">
        <f>IF($J125="","",IFERROR(IF(INDEX(Tarifa!$E$13:$E$512,$J125)&amp;""=INDEX(Tarifa!$E$13:$E$512,$J124)&amp;"","",INDEX(Tarifa!$E$13:$E$512,$J125)&amp;""),""))</f>
        <v/>
      </c>
      <c r="B125" s="39">
        <f>IF($J125="","",INDEX(Tarifa!$A$13:$A$512,$J125)&amp;"")</f>
        <v/>
      </c>
      <c r="C125" s="39">
        <f>IF($J125="","",INDEX(Tarifa!$B$13:$B$512,$J125)&amp;"")</f>
        <v/>
      </c>
      <c r="D125" s="39">
        <f>IF($J125="","",INDEX(Tarifa!$C$13:$C$512,$J125)&amp;"")</f>
        <v/>
      </c>
      <c r="E125" s="40">
        <f>IF($J125="","",IF(INDEX(Tarifa!$D$13:$D$512,$J125)="","",INDEX(Tarifa!$D$13:$D$512,$J125)))</f>
        <v/>
      </c>
      <c r="F125" s="41">
        <f>IF(OR($J125="",$J$1=""),"",IF(INDEX(Tarifa!$G$13:$G$512,$J125)="","",IF(NOT(ISNUMBER(INDEX(Tarifa!$G$13:$G$512,$J125))),"Revisa",IF($J$1=1,INDEX(Tarifa!$G$13:$G$512,$J125),ROUND(ROUND(INDEX(Tarifa!$G$13:$G$512,$J125)*(1+$J$2/100)/$J$3,0)*$J$3,2)))))</f>
        <v/>
      </c>
      <c r="G125" s="42">
        <f>IF(OR(NOT(ISNUMBER(F125)),N(E125)&lt;=1),"",ROUND(F125/E125,3))</f>
        <v/>
      </c>
      <c r="H125" s="43">
        <f>IF($J125="","",IF(INDEX(Tarifa!$H$13:$H$512,$J125)="","",INDEX(Tarifa!$H$13:$H$512,$J125)))</f>
        <v/>
      </c>
      <c r="I125" s="41">
        <f>IF(OR($M$3="No",$M$3="",NOT(ISNUMBER(F125))),"",IF(NOT(ISNUMBER(H125)),"Falta IVA",ROUND(F125*(1+(H125+IF($M$3="Con IVA y recargo",IF(H125=21,5.2,IF(H125=10,1.4,IF(H125=4,0.5,0))),0))/100),2)))</f>
        <v/>
      </c>
      <c r="J125">
        <f>IFERROR(MATCH(115,Tarifa!$O$13:$O$512,0),"")</f>
        <v/>
      </c>
    </row>
    <row r="126" ht="17" customHeight="1">
      <c r="A126" s="38">
        <f>IF($J126="","",IFERROR(IF(INDEX(Tarifa!$E$13:$E$512,$J126)&amp;""=INDEX(Tarifa!$E$13:$E$512,$J125)&amp;"","",INDEX(Tarifa!$E$13:$E$512,$J126)&amp;""),""))</f>
        <v/>
      </c>
      <c r="B126" s="39">
        <f>IF($J126="","",INDEX(Tarifa!$A$13:$A$512,$J126)&amp;"")</f>
        <v/>
      </c>
      <c r="C126" s="39">
        <f>IF($J126="","",INDEX(Tarifa!$B$13:$B$512,$J126)&amp;"")</f>
        <v/>
      </c>
      <c r="D126" s="39">
        <f>IF($J126="","",INDEX(Tarifa!$C$13:$C$512,$J126)&amp;"")</f>
        <v/>
      </c>
      <c r="E126" s="40">
        <f>IF($J126="","",IF(INDEX(Tarifa!$D$13:$D$512,$J126)="","",INDEX(Tarifa!$D$13:$D$512,$J126)))</f>
        <v/>
      </c>
      <c r="F126" s="41">
        <f>IF(OR($J126="",$J$1=""),"",IF(INDEX(Tarifa!$G$13:$G$512,$J126)="","",IF(NOT(ISNUMBER(INDEX(Tarifa!$G$13:$G$512,$J126))),"Revisa",IF($J$1=1,INDEX(Tarifa!$G$13:$G$512,$J126),ROUND(ROUND(INDEX(Tarifa!$G$13:$G$512,$J126)*(1+$J$2/100)/$J$3,0)*$J$3,2)))))</f>
        <v/>
      </c>
      <c r="G126" s="42">
        <f>IF(OR(NOT(ISNUMBER(F126)),N(E126)&lt;=1),"",ROUND(F126/E126,3))</f>
        <v/>
      </c>
      <c r="H126" s="43">
        <f>IF($J126="","",IF(INDEX(Tarifa!$H$13:$H$512,$J126)="","",INDEX(Tarifa!$H$13:$H$512,$J126)))</f>
        <v/>
      </c>
      <c r="I126" s="41">
        <f>IF(OR($M$3="No",$M$3="",NOT(ISNUMBER(F126))),"",IF(NOT(ISNUMBER(H126)),"Falta IVA",ROUND(F126*(1+(H126+IF($M$3="Con IVA y recargo",IF(H126=21,5.2,IF(H126=10,1.4,IF(H126=4,0.5,0))),0))/100),2)))</f>
        <v/>
      </c>
      <c r="J126">
        <f>IFERROR(MATCH(116,Tarifa!$O$13:$O$512,0),"")</f>
        <v/>
      </c>
    </row>
    <row r="127" ht="17" customHeight="1">
      <c r="A127" s="38">
        <f>IF($J127="","",IFERROR(IF(INDEX(Tarifa!$E$13:$E$512,$J127)&amp;""=INDEX(Tarifa!$E$13:$E$512,$J126)&amp;"","",INDEX(Tarifa!$E$13:$E$512,$J127)&amp;""),""))</f>
        <v/>
      </c>
      <c r="B127" s="39">
        <f>IF($J127="","",INDEX(Tarifa!$A$13:$A$512,$J127)&amp;"")</f>
        <v/>
      </c>
      <c r="C127" s="39">
        <f>IF($J127="","",INDEX(Tarifa!$B$13:$B$512,$J127)&amp;"")</f>
        <v/>
      </c>
      <c r="D127" s="39">
        <f>IF($J127="","",INDEX(Tarifa!$C$13:$C$512,$J127)&amp;"")</f>
        <v/>
      </c>
      <c r="E127" s="40">
        <f>IF($J127="","",IF(INDEX(Tarifa!$D$13:$D$512,$J127)="","",INDEX(Tarifa!$D$13:$D$512,$J127)))</f>
        <v/>
      </c>
      <c r="F127" s="41">
        <f>IF(OR($J127="",$J$1=""),"",IF(INDEX(Tarifa!$G$13:$G$512,$J127)="","",IF(NOT(ISNUMBER(INDEX(Tarifa!$G$13:$G$512,$J127))),"Revisa",IF($J$1=1,INDEX(Tarifa!$G$13:$G$512,$J127),ROUND(ROUND(INDEX(Tarifa!$G$13:$G$512,$J127)*(1+$J$2/100)/$J$3,0)*$J$3,2)))))</f>
        <v/>
      </c>
      <c r="G127" s="42">
        <f>IF(OR(NOT(ISNUMBER(F127)),N(E127)&lt;=1),"",ROUND(F127/E127,3))</f>
        <v/>
      </c>
      <c r="H127" s="43">
        <f>IF($J127="","",IF(INDEX(Tarifa!$H$13:$H$512,$J127)="","",INDEX(Tarifa!$H$13:$H$512,$J127)))</f>
        <v/>
      </c>
      <c r="I127" s="41">
        <f>IF(OR($M$3="No",$M$3="",NOT(ISNUMBER(F127))),"",IF(NOT(ISNUMBER(H127)),"Falta IVA",ROUND(F127*(1+(H127+IF($M$3="Con IVA y recargo",IF(H127=21,5.2,IF(H127=10,1.4,IF(H127=4,0.5,0))),0))/100),2)))</f>
        <v/>
      </c>
      <c r="J127">
        <f>IFERROR(MATCH(117,Tarifa!$O$13:$O$512,0),"")</f>
        <v/>
      </c>
    </row>
    <row r="128" ht="17" customHeight="1">
      <c r="A128" s="38">
        <f>IF($J128="","",IFERROR(IF(INDEX(Tarifa!$E$13:$E$512,$J128)&amp;""=INDEX(Tarifa!$E$13:$E$512,$J127)&amp;"","",INDEX(Tarifa!$E$13:$E$512,$J128)&amp;""),""))</f>
        <v/>
      </c>
      <c r="B128" s="39">
        <f>IF($J128="","",INDEX(Tarifa!$A$13:$A$512,$J128)&amp;"")</f>
        <v/>
      </c>
      <c r="C128" s="39">
        <f>IF($J128="","",INDEX(Tarifa!$B$13:$B$512,$J128)&amp;"")</f>
        <v/>
      </c>
      <c r="D128" s="39">
        <f>IF($J128="","",INDEX(Tarifa!$C$13:$C$512,$J128)&amp;"")</f>
        <v/>
      </c>
      <c r="E128" s="40">
        <f>IF($J128="","",IF(INDEX(Tarifa!$D$13:$D$512,$J128)="","",INDEX(Tarifa!$D$13:$D$512,$J128)))</f>
        <v/>
      </c>
      <c r="F128" s="41">
        <f>IF(OR($J128="",$J$1=""),"",IF(INDEX(Tarifa!$G$13:$G$512,$J128)="","",IF(NOT(ISNUMBER(INDEX(Tarifa!$G$13:$G$512,$J128))),"Revisa",IF($J$1=1,INDEX(Tarifa!$G$13:$G$512,$J128),ROUND(ROUND(INDEX(Tarifa!$G$13:$G$512,$J128)*(1+$J$2/100)/$J$3,0)*$J$3,2)))))</f>
        <v/>
      </c>
      <c r="G128" s="42">
        <f>IF(OR(NOT(ISNUMBER(F128)),N(E128)&lt;=1),"",ROUND(F128/E128,3))</f>
        <v/>
      </c>
      <c r="H128" s="43">
        <f>IF($J128="","",IF(INDEX(Tarifa!$H$13:$H$512,$J128)="","",INDEX(Tarifa!$H$13:$H$512,$J128)))</f>
        <v/>
      </c>
      <c r="I128" s="41">
        <f>IF(OR($M$3="No",$M$3="",NOT(ISNUMBER(F128))),"",IF(NOT(ISNUMBER(H128)),"Falta IVA",ROUND(F128*(1+(H128+IF($M$3="Con IVA y recargo",IF(H128=21,5.2,IF(H128=10,1.4,IF(H128=4,0.5,0))),0))/100),2)))</f>
        <v/>
      </c>
      <c r="J128">
        <f>IFERROR(MATCH(118,Tarifa!$O$13:$O$512,0),"")</f>
        <v/>
      </c>
    </row>
    <row r="129" ht="17" customHeight="1">
      <c r="A129" s="38">
        <f>IF($J129="","",IFERROR(IF(INDEX(Tarifa!$E$13:$E$512,$J129)&amp;""=INDEX(Tarifa!$E$13:$E$512,$J128)&amp;"","",INDEX(Tarifa!$E$13:$E$512,$J129)&amp;""),""))</f>
        <v/>
      </c>
      <c r="B129" s="39">
        <f>IF($J129="","",INDEX(Tarifa!$A$13:$A$512,$J129)&amp;"")</f>
        <v/>
      </c>
      <c r="C129" s="39">
        <f>IF($J129="","",INDEX(Tarifa!$B$13:$B$512,$J129)&amp;"")</f>
        <v/>
      </c>
      <c r="D129" s="39">
        <f>IF($J129="","",INDEX(Tarifa!$C$13:$C$512,$J129)&amp;"")</f>
        <v/>
      </c>
      <c r="E129" s="40">
        <f>IF($J129="","",IF(INDEX(Tarifa!$D$13:$D$512,$J129)="","",INDEX(Tarifa!$D$13:$D$512,$J129)))</f>
        <v/>
      </c>
      <c r="F129" s="41">
        <f>IF(OR($J129="",$J$1=""),"",IF(INDEX(Tarifa!$G$13:$G$512,$J129)="","",IF(NOT(ISNUMBER(INDEX(Tarifa!$G$13:$G$512,$J129))),"Revisa",IF($J$1=1,INDEX(Tarifa!$G$13:$G$512,$J129),ROUND(ROUND(INDEX(Tarifa!$G$13:$G$512,$J129)*(1+$J$2/100)/$J$3,0)*$J$3,2)))))</f>
        <v/>
      </c>
      <c r="G129" s="42">
        <f>IF(OR(NOT(ISNUMBER(F129)),N(E129)&lt;=1),"",ROUND(F129/E129,3))</f>
        <v/>
      </c>
      <c r="H129" s="43">
        <f>IF($J129="","",IF(INDEX(Tarifa!$H$13:$H$512,$J129)="","",INDEX(Tarifa!$H$13:$H$512,$J129)))</f>
        <v/>
      </c>
      <c r="I129" s="41">
        <f>IF(OR($M$3="No",$M$3="",NOT(ISNUMBER(F129))),"",IF(NOT(ISNUMBER(H129)),"Falta IVA",ROUND(F129*(1+(H129+IF($M$3="Con IVA y recargo",IF(H129=21,5.2,IF(H129=10,1.4,IF(H129=4,0.5,0))),0))/100),2)))</f>
        <v/>
      </c>
      <c r="J129">
        <f>IFERROR(MATCH(119,Tarifa!$O$13:$O$512,0),"")</f>
        <v/>
      </c>
    </row>
    <row r="130" ht="17" customHeight="1">
      <c r="A130" s="38">
        <f>IF($J130="","",IFERROR(IF(INDEX(Tarifa!$E$13:$E$512,$J130)&amp;""=INDEX(Tarifa!$E$13:$E$512,$J129)&amp;"","",INDEX(Tarifa!$E$13:$E$512,$J130)&amp;""),""))</f>
        <v/>
      </c>
      <c r="B130" s="39">
        <f>IF($J130="","",INDEX(Tarifa!$A$13:$A$512,$J130)&amp;"")</f>
        <v/>
      </c>
      <c r="C130" s="39">
        <f>IF($J130="","",INDEX(Tarifa!$B$13:$B$512,$J130)&amp;"")</f>
        <v/>
      </c>
      <c r="D130" s="39">
        <f>IF($J130="","",INDEX(Tarifa!$C$13:$C$512,$J130)&amp;"")</f>
        <v/>
      </c>
      <c r="E130" s="40">
        <f>IF($J130="","",IF(INDEX(Tarifa!$D$13:$D$512,$J130)="","",INDEX(Tarifa!$D$13:$D$512,$J130)))</f>
        <v/>
      </c>
      <c r="F130" s="41">
        <f>IF(OR($J130="",$J$1=""),"",IF(INDEX(Tarifa!$G$13:$G$512,$J130)="","",IF(NOT(ISNUMBER(INDEX(Tarifa!$G$13:$G$512,$J130))),"Revisa",IF($J$1=1,INDEX(Tarifa!$G$13:$G$512,$J130),ROUND(ROUND(INDEX(Tarifa!$G$13:$G$512,$J130)*(1+$J$2/100)/$J$3,0)*$J$3,2)))))</f>
        <v/>
      </c>
      <c r="G130" s="42">
        <f>IF(OR(NOT(ISNUMBER(F130)),N(E130)&lt;=1),"",ROUND(F130/E130,3))</f>
        <v/>
      </c>
      <c r="H130" s="43">
        <f>IF($J130="","",IF(INDEX(Tarifa!$H$13:$H$512,$J130)="","",INDEX(Tarifa!$H$13:$H$512,$J130)))</f>
        <v/>
      </c>
      <c r="I130" s="41">
        <f>IF(OR($M$3="No",$M$3="",NOT(ISNUMBER(F130))),"",IF(NOT(ISNUMBER(H130)),"Falta IVA",ROUND(F130*(1+(H130+IF($M$3="Con IVA y recargo",IF(H130=21,5.2,IF(H130=10,1.4,IF(H130=4,0.5,0))),0))/100),2)))</f>
        <v/>
      </c>
      <c r="J130">
        <f>IFERROR(MATCH(120,Tarifa!$O$13:$O$512,0),"")</f>
        <v/>
      </c>
    </row>
    <row r="131" ht="17" customHeight="1">
      <c r="A131" s="38">
        <f>IF($J131="","",IFERROR(IF(INDEX(Tarifa!$E$13:$E$512,$J131)&amp;""=INDEX(Tarifa!$E$13:$E$512,$J130)&amp;"","",INDEX(Tarifa!$E$13:$E$512,$J131)&amp;""),""))</f>
        <v/>
      </c>
      <c r="B131" s="39">
        <f>IF($J131="","",INDEX(Tarifa!$A$13:$A$512,$J131)&amp;"")</f>
        <v/>
      </c>
      <c r="C131" s="39">
        <f>IF($J131="","",INDEX(Tarifa!$B$13:$B$512,$J131)&amp;"")</f>
        <v/>
      </c>
      <c r="D131" s="39">
        <f>IF($J131="","",INDEX(Tarifa!$C$13:$C$512,$J131)&amp;"")</f>
        <v/>
      </c>
      <c r="E131" s="40">
        <f>IF($J131="","",IF(INDEX(Tarifa!$D$13:$D$512,$J131)="","",INDEX(Tarifa!$D$13:$D$512,$J131)))</f>
        <v/>
      </c>
      <c r="F131" s="41">
        <f>IF(OR($J131="",$J$1=""),"",IF(INDEX(Tarifa!$G$13:$G$512,$J131)="","",IF(NOT(ISNUMBER(INDEX(Tarifa!$G$13:$G$512,$J131))),"Revisa",IF($J$1=1,INDEX(Tarifa!$G$13:$G$512,$J131),ROUND(ROUND(INDEX(Tarifa!$G$13:$G$512,$J131)*(1+$J$2/100)/$J$3,0)*$J$3,2)))))</f>
        <v/>
      </c>
      <c r="G131" s="42">
        <f>IF(OR(NOT(ISNUMBER(F131)),N(E131)&lt;=1),"",ROUND(F131/E131,3))</f>
        <v/>
      </c>
      <c r="H131" s="43">
        <f>IF($J131="","",IF(INDEX(Tarifa!$H$13:$H$512,$J131)="","",INDEX(Tarifa!$H$13:$H$512,$J131)))</f>
        <v/>
      </c>
      <c r="I131" s="41">
        <f>IF(OR($M$3="No",$M$3="",NOT(ISNUMBER(F131))),"",IF(NOT(ISNUMBER(H131)),"Falta IVA",ROUND(F131*(1+(H131+IF($M$3="Con IVA y recargo",IF(H131=21,5.2,IF(H131=10,1.4,IF(H131=4,0.5,0))),0))/100),2)))</f>
        <v/>
      </c>
      <c r="J131">
        <f>IFERROR(MATCH(121,Tarifa!$O$13:$O$512,0),"")</f>
        <v/>
      </c>
    </row>
    <row r="132" ht="17" customHeight="1">
      <c r="A132" s="38">
        <f>IF($J132="","",IFERROR(IF(INDEX(Tarifa!$E$13:$E$512,$J132)&amp;""=INDEX(Tarifa!$E$13:$E$512,$J131)&amp;"","",INDEX(Tarifa!$E$13:$E$512,$J132)&amp;""),""))</f>
        <v/>
      </c>
      <c r="B132" s="39">
        <f>IF($J132="","",INDEX(Tarifa!$A$13:$A$512,$J132)&amp;"")</f>
        <v/>
      </c>
      <c r="C132" s="39">
        <f>IF($J132="","",INDEX(Tarifa!$B$13:$B$512,$J132)&amp;"")</f>
        <v/>
      </c>
      <c r="D132" s="39">
        <f>IF($J132="","",INDEX(Tarifa!$C$13:$C$512,$J132)&amp;"")</f>
        <v/>
      </c>
      <c r="E132" s="40">
        <f>IF($J132="","",IF(INDEX(Tarifa!$D$13:$D$512,$J132)="","",INDEX(Tarifa!$D$13:$D$512,$J132)))</f>
        <v/>
      </c>
      <c r="F132" s="41">
        <f>IF(OR($J132="",$J$1=""),"",IF(INDEX(Tarifa!$G$13:$G$512,$J132)="","",IF(NOT(ISNUMBER(INDEX(Tarifa!$G$13:$G$512,$J132))),"Revisa",IF($J$1=1,INDEX(Tarifa!$G$13:$G$512,$J132),ROUND(ROUND(INDEX(Tarifa!$G$13:$G$512,$J132)*(1+$J$2/100)/$J$3,0)*$J$3,2)))))</f>
        <v/>
      </c>
      <c r="G132" s="42">
        <f>IF(OR(NOT(ISNUMBER(F132)),N(E132)&lt;=1),"",ROUND(F132/E132,3))</f>
        <v/>
      </c>
      <c r="H132" s="43">
        <f>IF($J132="","",IF(INDEX(Tarifa!$H$13:$H$512,$J132)="","",INDEX(Tarifa!$H$13:$H$512,$J132)))</f>
        <v/>
      </c>
      <c r="I132" s="41">
        <f>IF(OR($M$3="No",$M$3="",NOT(ISNUMBER(F132))),"",IF(NOT(ISNUMBER(H132)),"Falta IVA",ROUND(F132*(1+(H132+IF($M$3="Con IVA y recargo",IF(H132=21,5.2,IF(H132=10,1.4,IF(H132=4,0.5,0))),0))/100),2)))</f>
        <v/>
      </c>
      <c r="J132">
        <f>IFERROR(MATCH(122,Tarifa!$O$13:$O$512,0),"")</f>
        <v/>
      </c>
    </row>
    <row r="133" ht="17" customHeight="1">
      <c r="A133" s="38">
        <f>IF($J133="","",IFERROR(IF(INDEX(Tarifa!$E$13:$E$512,$J133)&amp;""=INDEX(Tarifa!$E$13:$E$512,$J132)&amp;"","",INDEX(Tarifa!$E$13:$E$512,$J133)&amp;""),""))</f>
        <v/>
      </c>
      <c r="B133" s="39">
        <f>IF($J133="","",INDEX(Tarifa!$A$13:$A$512,$J133)&amp;"")</f>
        <v/>
      </c>
      <c r="C133" s="39">
        <f>IF($J133="","",INDEX(Tarifa!$B$13:$B$512,$J133)&amp;"")</f>
        <v/>
      </c>
      <c r="D133" s="39">
        <f>IF($J133="","",INDEX(Tarifa!$C$13:$C$512,$J133)&amp;"")</f>
        <v/>
      </c>
      <c r="E133" s="40">
        <f>IF($J133="","",IF(INDEX(Tarifa!$D$13:$D$512,$J133)="","",INDEX(Tarifa!$D$13:$D$512,$J133)))</f>
        <v/>
      </c>
      <c r="F133" s="41">
        <f>IF(OR($J133="",$J$1=""),"",IF(INDEX(Tarifa!$G$13:$G$512,$J133)="","",IF(NOT(ISNUMBER(INDEX(Tarifa!$G$13:$G$512,$J133))),"Revisa",IF($J$1=1,INDEX(Tarifa!$G$13:$G$512,$J133),ROUND(ROUND(INDEX(Tarifa!$G$13:$G$512,$J133)*(1+$J$2/100)/$J$3,0)*$J$3,2)))))</f>
        <v/>
      </c>
      <c r="G133" s="42">
        <f>IF(OR(NOT(ISNUMBER(F133)),N(E133)&lt;=1),"",ROUND(F133/E133,3))</f>
        <v/>
      </c>
      <c r="H133" s="43">
        <f>IF($J133="","",IF(INDEX(Tarifa!$H$13:$H$512,$J133)="","",INDEX(Tarifa!$H$13:$H$512,$J133)))</f>
        <v/>
      </c>
      <c r="I133" s="41">
        <f>IF(OR($M$3="No",$M$3="",NOT(ISNUMBER(F133))),"",IF(NOT(ISNUMBER(H133)),"Falta IVA",ROUND(F133*(1+(H133+IF($M$3="Con IVA y recargo",IF(H133=21,5.2,IF(H133=10,1.4,IF(H133=4,0.5,0))),0))/100),2)))</f>
        <v/>
      </c>
      <c r="J133">
        <f>IFERROR(MATCH(123,Tarifa!$O$13:$O$512,0),"")</f>
        <v/>
      </c>
    </row>
    <row r="134" ht="17" customHeight="1">
      <c r="A134" s="38">
        <f>IF($J134="","",IFERROR(IF(INDEX(Tarifa!$E$13:$E$512,$J134)&amp;""=INDEX(Tarifa!$E$13:$E$512,$J133)&amp;"","",INDEX(Tarifa!$E$13:$E$512,$J134)&amp;""),""))</f>
        <v/>
      </c>
      <c r="B134" s="39">
        <f>IF($J134="","",INDEX(Tarifa!$A$13:$A$512,$J134)&amp;"")</f>
        <v/>
      </c>
      <c r="C134" s="39">
        <f>IF($J134="","",INDEX(Tarifa!$B$13:$B$512,$J134)&amp;"")</f>
        <v/>
      </c>
      <c r="D134" s="39">
        <f>IF($J134="","",INDEX(Tarifa!$C$13:$C$512,$J134)&amp;"")</f>
        <v/>
      </c>
      <c r="E134" s="40">
        <f>IF($J134="","",IF(INDEX(Tarifa!$D$13:$D$512,$J134)="","",INDEX(Tarifa!$D$13:$D$512,$J134)))</f>
        <v/>
      </c>
      <c r="F134" s="41">
        <f>IF(OR($J134="",$J$1=""),"",IF(INDEX(Tarifa!$G$13:$G$512,$J134)="","",IF(NOT(ISNUMBER(INDEX(Tarifa!$G$13:$G$512,$J134))),"Revisa",IF($J$1=1,INDEX(Tarifa!$G$13:$G$512,$J134),ROUND(ROUND(INDEX(Tarifa!$G$13:$G$512,$J134)*(1+$J$2/100)/$J$3,0)*$J$3,2)))))</f>
        <v/>
      </c>
      <c r="G134" s="42">
        <f>IF(OR(NOT(ISNUMBER(F134)),N(E134)&lt;=1),"",ROUND(F134/E134,3))</f>
        <v/>
      </c>
      <c r="H134" s="43">
        <f>IF($J134="","",IF(INDEX(Tarifa!$H$13:$H$512,$J134)="","",INDEX(Tarifa!$H$13:$H$512,$J134)))</f>
        <v/>
      </c>
      <c r="I134" s="41">
        <f>IF(OR($M$3="No",$M$3="",NOT(ISNUMBER(F134))),"",IF(NOT(ISNUMBER(H134)),"Falta IVA",ROUND(F134*(1+(H134+IF($M$3="Con IVA y recargo",IF(H134=21,5.2,IF(H134=10,1.4,IF(H134=4,0.5,0))),0))/100),2)))</f>
        <v/>
      </c>
      <c r="J134">
        <f>IFERROR(MATCH(124,Tarifa!$O$13:$O$512,0),"")</f>
        <v/>
      </c>
    </row>
    <row r="135" ht="17" customHeight="1">
      <c r="A135" s="38">
        <f>IF($J135="","",IFERROR(IF(INDEX(Tarifa!$E$13:$E$512,$J135)&amp;""=INDEX(Tarifa!$E$13:$E$512,$J134)&amp;"","",INDEX(Tarifa!$E$13:$E$512,$J135)&amp;""),""))</f>
        <v/>
      </c>
      <c r="B135" s="39">
        <f>IF($J135="","",INDEX(Tarifa!$A$13:$A$512,$J135)&amp;"")</f>
        <v/>
      </c>
      <c r="C135" s="39">
        <f>IF($J135="","",INDEX(Tarifa!$B$13:$B$512,$J135)&amp;"")</f>
        <v/>
      </c>
      <c r="D135" s="39">
        <f>IF($J135="","",INDEX(Tarifa!$C$13:$C$512,$J135)&amp;"")</f>
        <v/>
      </c>
      <c r="E135" s="40">
        <f>IF($J135="","",IF(INDEX(Tarifa!$D$13:$D$512,$J135)="","",INDEX(Tarifa!$D$13:$D$512,$J135)))</f>
        <v/>
      </c>
      <c r="F135" s="41">
        <f>IF(OR($J135="",$J$1=""),"",IF(INDEX(Tarifa!$G$13:$G$512,$J135)="","",IF(NOT(ISNUMBER(INDEX(Tarifa!$G$13:$G$512,$J135))),"Revisa",IF($J$1=1,INDEX(Tarifa!$G$13:$G$512,$J135),ROUND(ROUND(INDEX(Tarifa!$G$13:$G$512,$J135)*(1+$J$2/100)/$J$3,0)*$J$3,2)))))</f>
        <v/>
      </c>
      <c r="G135" s="42">
        <f>IF(OR(NOT(ISNUMBER(F135)),N(E135)&lt;=1),"",ROUND(F135/E135,3))</f>
        <v/>
      </c>
      <c r="H135" s="43">
        <f>IF($J135="","",IF(INDEX(Tarifa!$H$13:$H$512,$J135)="","",INDEX(Tarifa!$H$13:$H$512,$J135)))</f>
        <v/>
      </c>
      <c r="I135" s="41">
        <f>IF(OR($M$3="No",$M$3="",NOT(ISNUMBER(F135))),"",IF(NOT(ISNUMBER(H135)),"Falta IVA",ROUND(F135*(1+(H135+IF($M$3="Con IVA y recargo",IF(H135=21,5.2,IF(H135=10,1.4,IF(H135=4,0.5,0))),0))/100),2)))</f>
        <v/>
      </c>
      <c r="J135">
        <f>IFERROR(MATCH(125,Tarifa!$O$13:$O$512,0),"")</f>
        <v/>
      </c>
    </row>
    <row r="136" ht="17" customHeight="1">
      <c r="A136" s="38">
        <f>IF($J136="","",IFERROR(IF(INDEX(Tarifa!$E$13:$E$512,$J136)&amp;""=INDEX(Tarifa!$E$13:$E$512,$J135)&amp;"","",INDEX(Tarifa!$E$13:$E$512,$J136)&amp;""),""))</f>
        <v/>
      </c>
      <c r="B136" s="39">
        <f>IF($J136="","",INDEX(Tarifa!$A$13:$A$512,$J136)&amp;"")</f>
        <v/>
      </c>
      <c r="C136" s="39">
        <f>IF($J136="","",INDEX(Tarifa!$B$13:$B$512,$J136)&amp;"")</f>
        <v/>
      </c>
      <c r="D136" s="39">
        <f>IF($J136="","",INDEX(Tarifa!$C$13:$C$512,$J136)&amp;"")</f>
        <v/>
      </c>
      <c r="E136" s="40">
        <f>IF($J136="","",IF(INDEX(Tarifa!$D$13:$D$512,$J136)="","",INDEX(Tarifa!$D$13:$D$512,$J136)))</f>
        <v/>
      </c>
      <c r="F136" s="41">
        <f>IF(OR($J136="",$J$1=""),"",IF(INDEX(Tarifa!$G$13:$G$512,$J136)="","",IF(NOT(ISNUMBER(INDEX(Tarifa!$G$13:$G$512,$J136))),"Revisa",IF($J$1=1,INDEX(Tarifa!$G$13:$G$512,$J136),ROUND(ROUND(INDEX(Tarifa!$G$13:$G$512,$J136)*(1+$J$2/100)/$J$3,0)*$J$3,2)))))</f>
        <v/>
      </c>
      <c r="G136" s="42">
        <f>IF(OR(NOT(ISNUMBER(F136)),N(E136)&lt;=1),"",ROUND(F136/E136,3))</f>
        <v/>
      </c>
      <c r="H136" s="43">
        <f>IF($J136="","",IF(INDEX(Tarifa!$H$13:$H$512,$J136)="","",INDEX(Tarifa!$H$13:$H$512,$J136)))</f>
        <v/>
      </c>
      <c r="I136" s="41">
        <f>IF(OR($M$3="No",$M$3="",NOT(ISNUMBER(F136))),"",IF(NOT(ISNUMBER(H136)),"Falta IVA",ROUND(F136*(1+(H136+IF($M$3="Con IVA y recargo",IF(H136=21,5.2,IF(H136=10,1.4,IF(H136=4,0.5,0))),0))/100),2)))</f>
        <v/>
      </c>
      <c r="J136">
        <f>IFERROR(MATCH(126,Tarifa!$O$13:$O$512,0),"")</f>
        <v/>
      </c>
    </row>
    <row r="137" ht="17" customHeight="1">
      <c r="A137" s="38">
        <f>IF($J137="","",IFERROR(IF(INDEX(Tarifa!$E$13:$E$512,$J137)&amp;""=INDEX(Tarifa!$E$13:$E$512,$J136)&amp;"","",INDEX(Tarifa!$E$13:$E$512,$J137)&amp;""),""))</f>
        <v/>
      </c>
      <c r="B137" s="39">
        <f>IF($J137="","",INDEX(Tarifa!$A$13:$A$512,$J137)&amp;"")</f>
        <v/>
      </c>
      <c r="C137" s="39">
        <f>IF($J137="","",INDEX(Tarifa!$B$13:$B$512,$J137)&amp;"")</f>
        <v/>
      </c>
      <c r="D137" s="39">
        <f>IF($J137="","",INDEX(Tarifa!$C$13:$C$512,$J137)&amp;"")</f>
        <v/>
      </c>
      <c r="E137" s="40">
        <f>IF($J137="","",IF(INDEX(Tarifa!$D$13:$D$512,$J137)="","",INDEX(Tarifa!$D$13:$D$512,$J137)))</f>
        <v/>
      </c>
      <c r="F137" s="41">
        <f>IF(OR($J137="",$J$1=""),"",IF(INDEX(Tarifa!$G$13:$G$512,$J137)="","",IF(NOT(ISNUMBER(INDEX(Tarifa!$G$13:$G$512,$J137))),"Revisa",IF($J$1=1,INDEX(Tarifa!$G$13:$G$512,$J137),ROUND(ROUND(INDEX(Tarifa!$G$13:$G$512,$J137)*(1+$J$2/100)/$J$3,0)*$J$3,2)))))</f>
        <v/>
      </c>
      <c r="G137" s="42">
        <f>IF(OR(NOT(ISNUMBER(F137)),N(E137)&lt;=1),"",ROUND(F137/E137,3))</f>
        <v/>
      </c>
      <c r="H137" s="43">
        <f>IF($J137="","",IF(INDEX(Tarifa!$H$13:$H$512,$J137)="","",INDEX(Tarifa!$H$13:$H$512,$J137)))</f>
        <v/>
      </c>
      <c r="I137" s="41">
        <f>IF(OR($M$3="No",$M$3="",NOT(ISNUMBER(F137))),"",IF(NOT(ISNUMBER(H137)),"Falta IVA",ROUND(F137*(1+(H137+IF($M$3="Con IVA y recargo",IF(H137=21,5.2,IF(H137=10,1.4,IF(H137=4,0.5,0))),0))/100),2)))</f>
        <v/>
      </c>
      <c r="J137">
        <f>IFERROR(MATCH(127,Tarifa!$O$13:$O$512,0),"")</f>
        <v/>
      </c>
    </row>
    <row r="138" ht="17" customHeight="1">
      <c r="A138" s="38">
        <f>IF($J138="","",IFERROR(IF(INDEX(Tarifa!$E$13:$E$512,$J138)&amp;""=INDEX(Tarifa!$E$13:$E$512,$J137)&amp;"","",INDEX(Tarifa!$E$13:$E$512,$J138)&amp;""),""))</f>
        <v/>
      </c>
      <c r="B138" s="39">
        <f>IF($J138="","",INDEX(Tarifa!$A$13:$A$512,$J138)&amp;"")</f>
        <v/>
      </c>
      <c r="C138" s="39">
        <f>IF($J138="","",INDEX(Tarifa!$B$13:$B$512,$J138)&amp;"")</f>
        <v/>
      </c>
      <c r="D138" s="39">
        <f>IF($J138="","",INDEX(Tarifa!$C$13:$C$512,$J138)&amp;"")</f>
        <v/>
      </c>
      <c r="E138" s="40">
        <f>IF($J138="","",IF(INDEX(Tarifa!$D$13:$D$512,$J138)="","",INDEX(Tarifa!$D$13:$D$512,$J138)))</f>
        <v/>
      </c>
      <c r="F138" s="41">
        <f>IF(OR($J138="",$J$1=""),"",IF(INDEX(Tarifa!$G$13:$G$512,$J138)="","",IF(NOT(ISNUMBER(INDEX(Tarifa!$G$13:$G$512,$J138))),"Revisa",IF($J$1=1,INDEX(Tarifa!$G$13:$G$512,$J138),ROUND(ROUND(INDEX(Tarifa!$G$13:$G$512,$J138)*(1+$J$2/100)/$J$3,0)*$J$3,2)))))</f>
        <v/>
      </c>
      <c r="G138" s="42">
        <f>IF(OR(NOT(ISNUMBER(F138)),N(E138)&lt;=1),"",ROUND(F138/E138,3))</f>
        <v/>
      </c>
      <c r="H138" s="43">
        <f>IF($J138="","",IF(INDEX(Tarifa!$H$13:$H$512,$J138)="","",INDEX(Tarifa!$H$13:$H$512,$J138)))</f>
        <v/>
      </c>
      <c r="I138" s="41">
        <f>IF(OR($M$3="No",$M$3="",NOT(ISNUMBER(F138))),"",IF(NOT(ISNUMBER(H138)),"Falta IVA",ROUND(F138*(1+(H138+IF($M$3="Con IVA y recargo",IF(H138=21,5.2,IF(H138=10,1.4,IF(H138=4,0.5,0))),0))/100),2)))</f>
        <v/>
      </c>
      <c r="J138">
        <f>IFERROR(MATCH(128,Tarifa!$O$13:$O$512,0),"")</f>
        <v/>
      </c>
    </row>
    <row r="139" ht="17" customHeight="1">
      <c r="A139" s="38">
        <f>IF($J139="","",IFERROR(IF(INDEX(Tarifa!$E$13:$E$512,$J139)&amp;""=INDEX(Tarifa!$E$13:$E$512,$J138)&amp;"","",INDEX(Tarifa!$E$13:$E$512,$J139)&amp;""),""))</f>
        <v/>
      </c>
      <c r="B139" s="39">
        <f>IF($J139="","",INDEX(Tarifa!$A$13:$A$512,$J139)&amp;"")</f>
        <v/>
      </c>
      <c r="C139" s="39">
        <f>IF($J139="","",INDEX(Tarifa!$B$13:$B$512,$J139)&amp;"")</f>
        <v/>
      </c>
      <c r="D139" s="39">
        <f>IF($J139="","",INDEX(Tarifa!$C$13:$C$512,$J139)&amp;"")</f>
        <v/>
      </c>
      <c r="E139" s="40">
        <f>IF($J139="","",IF(INDEX(Tarifa!$D$13:$D$512,$J139)="","",INDEX(Tarifa!$D$13:$D$512,$J139)))</f>
        <v/>
      </c>
      <c r="F139" s="41">
        <f>IF(OR($J139="",$J$1=""),"",IF(INDEX(Tarifa!$G$13:$G$512,$J139)="","",IF(NOT(ISNUMBER(INDEX(Tarifa!$G$13:$G$512,$J139))),"Revisa",IF($J$1=1,INDEX(Tarifa!$G$13:$G$512,$J139),ROUND(ROUND(INDEX(Tarifa!$G$13:$G$512,$J139)*(1+$J$2/100)/$J$3,0)*$J$3,2)))))</f>
        <v/>
      </c>
      <c r="G139" s="42">
        <f>IF(OR(NOT(ISNUMBER(F139)),N(E139)&lt;=1),"",ROUND(F139/E139,3))</f>
        <v/>
      </c>
      <c r="H139" s="43">
        <f>IF($J139="","",IF(INDEX(Tarifa!$H$13:$H$512,$J139)="","",INDEX(Tarifa!$H$13:$H$512,$J139)))</f>
        <v/>
      </c>
      <c r="I139" s="41">
        <f>IF(OR($M$3="No",$M$3="",NOT(ISNUMBER(F139))),"",IF(NOT(ISNUMBER(H139)),"Falta IVA",ROUND(F139*(1+(H139+IF($M$3="Con IVA y recargo",IF(H139=21,5.2,IF(H139=10,1.4,IF(H139=4,0.5,0))),0))/100),2)))</f>
        <v/>
      </c>
      <c r="J139">
        <f>IFERROR(MATCH(129,Tarifa!$O$13:$O$512,0),"")</f>
        <v/>
      </c>
    </row>
    <row r="140" ht="17" customHeight="1">
      <c r="A140" s="38">
        <f>IF($J140="","",IFERROR(IF(INDEX(Tarifa!$E$13:$E$512,$J140)&amp;""=INDEX(Tarifa!$E$13:$E$512,$J139)&amp;"","",INDEX(Tarifa!$E$13:$E$512,$J140)&amp;""),""))</f>
        <v/>
      </c>
      <c r="B140" s="39">
        <f>IF($J140="","",INDEX(Tarifa!$A$13:$A$512,$J140)&amp;"")</f>
        <v/>
      </c>
      <c r="C140" s="39">
        <f>IF($J140="","",INDEX(Tarifa!$B$13:$B$512,$J140)&amp;"")</f>
        <v/>
      </c>
      <c r="D140" s="39">
        <f>IF($J140="","",INDEX(Tarifa!$C$13:$C$512,$J140)&amp;"")</f>
        <v/>
      </c>
      <c r="E140" s="40">
        <f>IF($J140="","",IF(INDEX(Tarifa!$D$13:$D$512,$J140)="","",INDEX(Tarifa!$D$13:$D$512,$J140)))</f>
        <v/>
      </c>
      <c r="F140" s="41">
        <f>IF(OR($J140="",$J$1=""),"",IF(INDEX(Tarifa!$G$13:$G$512,$J140)="","",IF(NOT(ISNUMBER(INDEX(Tarifa!$G$13:$G$512,$J140))),"Revisa",IF($J$1=1,INDEX(Tarifa!$G$13:$G$512,$J140),ROUND(ROUND(INDEX(Tarifa!$G$13:$G$512,$J140)*(1+$J$2/100)/$J$3,0)*$J$3,2)))))</f>
        <v/>
      </c>
      <c r="G140" s="42">
        <f>IF(OR(NOT(ISNUMBER(F140)),N(E140)&lt;=1),"",ROUND(F140/E140,3))</f>
        <v/>
      </c>
      <c r="H140" s="43">
        <f>IF($J140="","",IF(INDEX(Tarifa!$H$13:$H$512,$J140)="","",INDEX(Tarifa!$H$13:$H$512,$J140)))</f>
        <v/>
      </c>
      <c r="I140" s="41">
        <f>IF(OR($M$3="No",$M$3="",NOT(ISNUMBER(F140))),"",IF(NOT(ISNUMBER(H140)),"Falta IVA",ROUND(F140*(1+(H140+IF($M$3="Con IVA y recargo",IF(H140=21,5.2,IF(H140=10,1.4,IF(H140=4,0.5,0))),0))/100),2)))</f>
        <v/>
      </c>
      <c r="J140">
        <f>IFERROR(MATCH(130,Tarifa!$O$13:$O$512,0),"")</f>
        <v/>
      </c>
    </row>
    <row r="141" ht="17" customHeight="1">
      <c r="A141" s="38">
        <f>IF($J141="","",IFERROR(IF(INDEX(Tarifa!$E$13:$E$512,$J141)&amp;""=INDEX(Tarifa!$E$13:$E$512,$J140)&amp;"","",INDEX(Tarifa!$E$13:$E$512,$J141)&amp;""),""))</f>
        <v/>
      </c>
      <c r="B141" s="39">
        <f>IF($J141="","",INDEX(Tarifa!$A$13:$A$512,$J141)&amp;"")</f>
        <v/>
      </c>
      <c r="C141" s="39">
        <f>IF($J141="","",INDEX(Tarifa!$B$13:$B$512,$J141)&amp;"")</f>
        <v/>
      </c>
      <c r="D141" s="39">
        <f>IF($J141="","",INDEX(Tarifa!$C$13:$C$512,$J141)&amp;"")</f>
        <v/>
      </c>
      <c r="E141" s="40">
        <f>IF($J141="","",IF(INDEX(Tarifa!$D$13:$D$512,$J141)="","",INDEX(Tarifa!$D$13:$D$512,$J141)))</f>
        <v/>
      </c>
      <c r="F141" s="41">
        <f>IF(OR($J141="",$J$1=""),"",IF(INDEX(Tarifa!$G$13:$G$512,$J141)="","",IF(NOT(ISNUMBER(INDEX(Tarifa!$G$13:$G$512,$J141))),"Revisa",IF($J$1=1,INDEX(Tarifa!$G$13:$G$512,$J141),ROUND(ROUND(INDEX(Tarifa!$G$13:$G$512,$J141)*(1+$J$2/100)/$J$3,0)*$J$3,2)))))</f>
        <v/>
      </c>
      <c r="G141" s="42">
        <f>IF(OR(NOT(ISNUMBER(F141)),N(E141)&lt;=1),"",ROUND(F141/E141,3))</f>
        <v/>
      </c>
      <c r="H141" s="43">
        <f>IF($J141="","",IF(INDEX(Tarifa!$H$13:$H$512,$J141)="","",INDEX(Tarifa!$H$13:$H$512,$J141)))</f>
        <v/>
      </c>
      <c r="I141" s="41">
        <f>IF(OR($M$3="No",$M$3="",NOT(ISNUMBER(F141))),"",IF(NOT(ISNUMBER(H141)),"Falta IVA",ROUND(F141*(1+(H141+IF($M$3="Con IVA y recargo",IF(H141=21,5.2,IF(H141=10,1.4,IF(H141=4,0.5,0))),0))/100),2)))</f>
        <v/>
      </c>
      <c r="J141">
        <f>IFERROR(MATCH(131,Tarifa!$O$13:$O$512,0),"")</f>
        <v/>
      </c>
    </row>
    <row r="142" ht="17" customHeight="1">
      <c r="A142" s="38">
        <f>IF($J142="","",IFERROR(IF(INDEX(Tarifa!$E$13:$E$512,$J142)&amp;""=INDEX(Tarifa!$E$13:$E$512,$J141)&amp;"","",INDEX(Tarifa!$E$13:$E$512,$J142)&amp;""),""))</f>
        <v/>
      </c>
      <c r="B142" s="39">
        <f>IF($J142="","",INDEX(Tarifa!$A$13:$A$512,$J142)&amp;"")</f>
        <v/>
      </c>
      <c r="C142" s="39">
        <f>IF($J142="","",INDEX(Tarifa!$B$13:$B$512,$J142)&amp;"")</f>
        <v/>
      </c>
      <c r="D142" s="39">
        <f>IF($J142="","",INDEX(Tarifa!$C$13:$C$512,$J142)&amp;"")</f>
        <v/>
      </c>
      <c r="E142" s="40">
        <f>IF($J142="","",IF(INDEX(Tarifa!$D$13:$D$512,$J142)="","",INDEX(Tarifa!$D$13:$D$512,$J142)))</f>
        <v/>
      </c>
      <c r="F142" s="41">
        <f>IF(OR($J142="",$J$1=""),"",IF(INDEX(Tarifa!$G$13:$G$512,$J142)="","",IF(NOT(ISNUMBER(INDEX(Tarifa!$G$13:$G$512,$J142))),"Revisa",IF($J$1=1,INDEX(Tarifa!$G$13:$G$512,$J142),ROUND(ROUND(INDEX(Tarifa!$G$13:$G$512,$J142)*(1+$J$2/100)/$J$3,0)*$J$3,2)))))</f>
        <v/>
      </c>
      <c r="G142" s="42">
        <f>IF(OR(NOT(ISNUMBER(F142)),N(E142)&lt;=1),"",ROUND(F142/E142,3))</f>
        <v/>
      </c>
      <c r="H142" s="43">
        <f>IF($J142="","",IF(INDEX(Tarifa!$H$13:$H$512,$J142)="","",INDEX(Tarifa!$H$13:$H$512,$J142)))</f>
        <v/>
      </c>
      <c r="I142" s="41">
        <f>IF(OR($M$3="No",$M$3="",NOT(ISNUMBER(F142))),"",IF(NOT(ISNUMBER(H142)),"Falta IVA",ROUND(F142*(1+(H142+IF($M$3="Con IVA y recargo",IF(H142=21,5.2,IF(H142=10,1.4,IF(H142=4,0.5,0))),0))/100),2)))</f>
        <v/>
      </c>
      <c r="J142">
        <f>IFERROR(MATCH(132,Tarifa!$O$13:$O$512,0),"")</f>
        <v/>
      </c>
    </row>
    <row r="143" ht="17" customHeight="1">
      <c r="A143" s="38">
        <f>IF($J143="","",IFERROR(IF(INDEX(Tarifa!$E$13:$E$512,$J143)&amp;""=INDEX(Tarifa!$E$13:$E$512,$J142)&amp;"","",INDEX(Tarifa!$E$13:$E$512,$J143)&amp;""),""))</f>
        <v/>
      </c>
      <c r="B143" s="39">
        <f>IF($J143="","",INDEX(Tarifa!$A$13:$A$512,$J143)&amp;"")</f>
        <v/>
      </c>
      <c r="C143" s="39">
        <f>IF($J143="","",INDEX(Tarifa!$B$13:$B$512,$J143)&amp;"")</f>
        <v/>
      </c>
      <c r="D143" s="39">
        <f>IF($J143="","",INDEX(Tarifa!$C$13:$C$512,$J143)&amp;"")</f>
        <v/>
      </c>
      <c r="E143" s="40">
        <f>IF($J143="","",IF(INDEX(Tarifa!$D$13:$D$512,$J143)="","",INDEX(Tarifa!$D$13:$D$512,$J143)))</f>
        <v/>
      </c>
      <c r="F143" s="41">
        <f>IF(OR($J143="",$J$1=""),"",IF(INDEX(Tarifa!$G$13:$G$512,$J143)="","",IF(NOT(ISNUMBER(INDEX(Tarifa!$G$13:$G$512,$J143))),"Revisa",IF($J$1=1,INDEX(Tarifa!$G$13:$G$512,$J143),ROUND(ROUND(INDEX(Tarifa!$G$13:$G$512,$J143)*(1+$J$2/100)/$J$3,0)*$J$3,2)))))</f>
        <v/>
      </c>
      <c r="G143" s="42">
        <f>IF(OR(NOT(ISNUMBER(F143)),N(E143)&lt;=1),"",ROUND(F143/E143,3))</f>
        <v/>
      </c>
      <c r="H143" s="43">
        <f>IF($J143="","",IF(INDEX(Tarifa!$H$13:$H$512,$J143)="","",INDEX(Tarifa!$H$13:$H$512,$J143)))</f>
        <v/>
      </c>
      <c r="I143" s="41">
        <f>IF(OR($M$3="No",$M$3="",NOT(ISNUMBER(F143))),"",IF(NOT(ISNUMBER(H143)),"Falta IVA",ROUND(F143*(1+(H143+IF($M$3="Con IVA y recargo",IF(H143=21,5.2,IF(H143=10,1.4,IF(H143=4,0.5,0))),0))/100),2)))</f>
        <v/>
      </c>
      <c r="J143">
        <f>IFERROR(MATCH(133,Tarifa!$O$13:$O$512,0),"")</f>
        <v/>
      </c>
    </row>
    <row r="144" ht="17" customHeight="1">
      <c r="A144" s="38">
        <f>IF($J144="","",IFERROR(IF(INDEX(Tarifa!$E$13:$E$512,$J144)&amp;""=INDEX(Tarifa!$E$13:$E$512,$J143)&amp;"","",INDEX(Tarifa!$E$13:$E$512,$J144)&amp;""),""))</f>
        <v/>
      </c>
      <c r="B144" s="39">
        <f>IF($J144="","",INDEX(Tarifa!$A$13:$A$512,$J144)&amp;"")</f>
        <v/>
      </c>
      <c r="C144" s="39">
        <f>IF($J144="","",INDEX(Tarifa!$B$13:$B$512,$J144)&amp;"")</f>
        <v/>
      </c>
      <c r="D144" s="39">
        <f>IF($J144="","",INDEX(Tarifa!$C$13:$C$512,$J144)&amp;"")</f>
        <v/>
      </c>
      <c r="E144" s="40">
        <f>IF($J144="","",IF(INDEX(Tarifa!$D$13:$D$512,$J144)="","",INDEX(Tarifa!$D$13:$D$512,$J144)))</f>
        <v/>
      </c>
      <c r="F144" s="41">
        <f>IF(OR($J144="",$J$1=""),"",IF(INDEX(Tarifa!$G$13:$G$512,$J144)="","",IF(NOT(ISNUMBER(INDEX(Tarifa!$G$13:$G$512,$J144))),"Revisa",IF($J$1=1,INDEX(Tarifa!$G$13:$G$512,$J144),ROUND(ROUND(INDEX(Tarifa!$G$13:$G$512,$J144)*(1+$J$2/100)/$J$3,0)*$J$3,2)))))</f>
        <v/>
      </c>
      <c r="G144" s="42">
        <f>IF(OR(NOT(ISNUMBER(F144)),N(E144)&lt;=1),"",ROUND(F144/E144,3))</f>
        <v/>
      </c>
      <c r="H144" s="43">
        <f>IF($J144="","",IF(INDEX(Tarifa!$H$13:$H$512,$J144)="","",INDEX(Tarifa!$H$13:$H$512,$J144)))</f>
        <v/>
      </c>
      <c r="I144" s="41">
        <f>IF(OR($M$3="No",$M$3="",NOT(ISNUMBER(F144))),"",IF(NOT(ISNUMBER(H144)),"Falta IVA",ROUND(F144*(1+(H144+IF($M$3="Con IVA y recargo",IF(H144=21,5.2,IF(H144=10,1.4,IF(H144=4,0.5,0))),0))/100),2)))</f>
        <v/>
      </c>
      <c r="J144">
        <f>IFERROR(MATCH(134,Tarifa!$O$13:$O$512,0),"")</f>
        <v/>
      </c>
    </row>
    <row r="145" ht="17" customHeight="1">
      <c r="A145" s="38">
        <f>IF($J145="","",IFERROR(IF(INDEX(Tarifa!$E$13:$E$512,$J145)&amp;""=INDEX(Tarifa!$E$13:$E$512,$J144)&amp;"","",INDEX(Tarifa!$E$13:$E$512,$J145)&amp;""),""))</f>
        <v/>
      </c>
      <c r="B145" s="39">
        <f>IF($J145="","",INDEX(Tarifa!$A$13:$A$512,$J145)&amp;"")</f>
        <v/>
      </c>
      <c r="C145" s="39">
        <f>IF($J145="","",INDEX(Tarifa!$B$13:$B$512,$J145)&amp;"")</f>
        <v/>
      </c>
      <c r="D145" s="39">
        <f>IF($J145="","",INDEX(Tarifa!$C$13:$C$512,$J145)&amp;"")</f>
        <v/>
      </c>
      <c r="E145" s="40">
        <f>IF($J145="","",IF(INDEX(Tarifa!$D$13:$D$512,$J145)="","",INDEX(Tarifa!$D$13:$D$512,$J145)))</f>
        <v/>
      </c>
      <c r="F145" s="41">
        <f>IF(OR($J145="",$J$1=""),"",IF(INDEX(Tarifa!$G$13:$G$512,$J145)="","",IF(NOT(ISNUMBER(INDEX(Tarifa!$G$13:$G$512,$J145))),"Revisa",IF($J$1=1,INDEX(Tarifa!$G$13:$G$512,$J145),ROUND(ROUND(INDEX(Tarifa!$G$13:$G$512,$J145)*(1+$J$2/100)/$J$3,0)*$J$3,2)))))</f>
        <v/>
      </c>
      <c r="G145" s="42">
        <f>IF(OR(NOT(ISNUMBER(F145)),N(E145)&lt;=1),"",ROUND(F145/E145,3))</f>
        <v/>
      </c>
      <c r="H145" s="43">
        <f>IF($J145="","",IF(INDEX(Tarifa!$H$13:$H$512,$J145)="","",INDEX(Tarifa!$H$13:$H$512,$J145)))</f>
        <v/>
      </c>
      <c r="I145" s="41">
        <f>IF(OR($M$3="No",$M$3="",NOT(ISNUMBER(F145))),"",IF(NOT(ISNUMBER(H145)),"Falta IVA",ROUND(F145*(1+(H145+IF($M$3="Con IVA y recargo",IF(H145=21,5.2,IF(H145=10,1.4,IF(H145=4,0.5,0))),0))/100),2)))</f>
        <v/>
      </c>
      <c r="J145">
        <f>IFERROR(MATCH(135,Tarifa!$O$13:$O$512,0),"")</f>
        <v/>
      </c>
    </row>
    <row r="146" ht="17" customHeight="1">
      <c r="A146" s="38">
        <f>IF($J146="","",IFERROR(IF(INDEX(Tarifa!$E$13:$E$512,$J146)&amp;""=INDEX(Tarifa!$E$13:$E$512,$J145)&amp;"","",INDEX(Tarifa!$E$13:$E$512,$J146)&amp;""),""))</f>
        <v/>
      </c>
      <c r="B146" s="39">
        <f>IF($J146="","",INDEX(Tarifa!$A$13:$A$512,$J146)&amp;"")</f>
        <v/>
      </c>
      <c r="C146" s="39">
        <f>IF($J146="","",INDEX(Tarifa!$B$13:$B$512,$J146)&amp;"")</f>
        <v/>
      </c>
      <c r="D146" s="39">
        <f>IF($J146="","",INDEX(Tarifa!$C$13:$C$512,$J146)&amp;"")</f>
        <v/>
      </c>
      <c r="E146" s="40">
        <f>IF($J146="","",IF(INDEX(Tarifa!$D$13:$D$512,$J146)="","",INDEX(Tarifa!$D$13:$D$512,$J146)))</f>
        <v/>
      </c>
      <c r="F146" s="41">
        <f>IF(OR($J146="",$J$1=""),"",IF(INDEX(Tarifa!$G$13:$G$512,$J146)="","",IF(NOT(ISNUMBER(INDEX(Tarifa!$G$13:$G$512,$J146))),"Revisa",IF($J$1=1,INDEX(Tarifa!$G$13:$G$512,$J146),ROUND(ROUND(INDEX(Tarifa!$G$13:$G$512,$J146)*(1+$J$2/100)/$J$3,0)*$J$3,2)))))</f>
        <v/>
      </c>
      <c r="G146" s="42">
        <f>IF(OR(NOT(ISNUMBER(F146)),N(E146)&lt;=1),"",ROUND(F146/E146,3))</f>
        <v/>
      </c>
      <c r="H146" s="43">
        <f>IF($J146="","",IF(INDEX(Tarifa!$H$13:$H$512,$J146)="","",INDEX(Tarifa!$H$13:$H$512,$J146)))</f>
        <v/>
      </c>
      <c r="I146" s="41">
        <f>IF(OR($M$3="No",$M$3="",NOT(ISNUMBER(F146))),"",IF(NOT(ISNUMBER(H146)),"Falta IVA",ROUND(F146*(1+(H146+IF($M$3="Con IVA y recargo",IF(H146=21,5.2,IF(H146=10,1.4,IF(H146=4,0.5,0))),0))/100),2)))</f>
        <v/>
      </c>
      <c r="J146">
        <f>IFERROR(MATCH(136,Tarifa!$O$13:$O$512,0),"")</f>
        <v/>
      </c>
    </row>
    <row r="147" ht="17" customHeight="1">
      <c r="A147" s="38">
        <f>IF($J147="","",IFERROR(IF(INDEX(Tarifa!$E$13:$E$512,$J147)&amp;""=INDEX(Tarifa!$E$13:$E$512,$J146)&amp;"","",INDEX(Tarifa!$E$13:$E$512,$J147)&amp;""),""))</f>
        <v/>
      </c>
      <c r="B147" s="39">
        <f>IF($J147="","",INDEX(Tarifa!$A$13:$A$512,$J147)&amp;"")</f>
        <v/>
      </c>
      <c r="C147" s="39">
        <f>IF($J147="","",INDEX(Tarifa!$B$13:$B$512,$J147)&amp;"")</f>
        <v/>
      </c>
      <c r="D147" s="39">
        <f>IF($J147="","",INDEX(Tarifa!$C$13:$C$512,$J147)&amp;"")</f>
        <v/>
      </c>
      <c r="E147" s="40">
        <f>IF($J147="","",IF(INDEX(Tarifa!$D$13:$D$512,$J147)="","",INDEX(Tarifa!$D$13:$D$512,$J147)))</f>
        <v/>
      </c>
      <c r="F147" s="41">
        <f>IF(OR($J147="",$J$1=""),"",IF(INDEX(Tarifa!$G$13:$G$512,$J147)="","",IF(NOT(ISNUMBER(INDEX(Tarifa!$G$13:$G$512,$J147))),"Revisa",IF($J$1=1,INDEX(Tarifa!$G$13:$G$512,$J147),ROUND(ROUND(INDEX(Tarifa!$G$13:$G$512,$J147)*(1+$J$2/100)/$J$3,0)*$J$3,2)))))</f>
        <v/>
      </c>
      <c r="G147" s="42">
        <f>IF(OR(NOT(ISNUMBER(F147)),N(E147)&lt;=1),"",ROUND(F147/E147,3))</f>
        <v/>
      </c>
      <c r="H147" s="43">
        <f>IF($J147="","",IF(INDEX(Tarifa!$H$13:$H$512,$J147)="","",INDEX(Tarifa!$H$13:$H$512,$J147)))</f>
        <v/>
      </c>
      <c r="I147" s="41">
        <f>IF(OR($M$3="No",$M$3="",NOT(ISNUMBER(F147))),"",IF(NOT(ISNUMBER(H147)),"Falta IVA",ROUND(F147*(1+(H147+IF($M$3="Con IVA y recargo",IF(H147=21,5.2,IF(H147=10,1.4,IF(H147=4,0.5,0))),0))/100),2)))</f>
        <v/>
      </c>
      <c r="J147">
        <f>IFERROR(MATCH(137,Tarifa!$O$13:$O$512,0),"")</f>
        <v/>
      </c>
    </row>
    <row r="148" ht="17" customHeight="1">
      <c r="A148" s="38">
        <f>IF($J148="","",IFERROR(IF(INDEX(Tarifa!$E$13:$E$512,$J148)&amp;""=INDEX(Tarifa!$E$13:$E$512,$J147)&amp;"","",INDEX(Tarifa!$E$13:$E$512,$J148)&amp;""),""))</f>
        <v/>
      </c>
      <c r="B148" s="39">
        <f>IF($J148="","",INDEX(Tarifa!$A$13:$A$512,$J148)&amp;"")</f>
        <v/>
      </c>
      <c r="C148" s="39">
        <f>IF($J148="","",INDEX(Tarifa!$B$13:$B$512,$J148)&amp;"")</f>
        <v/>
      </c>
      <c r="D148" s="39">
        <f>IF($J148="","",INDEX(Tarifa!$C$13:$C$512,$J148)&amp;"")</f>
        <v/>
      </c>
      <c r="E148" s="40">
        <f>IF($J148="","",IF(INDEX(Tarifa!$D$13:$D$512,$J148)="","",INDEX(Tarifa!$D$13:$D$512,$J148)))</f>
        <v/>
      </c>
      <c r="F148" s="41">
        <f>IF(OR($J148="",$J$1=""),"",IF(INDEX(Tarifa!$G$13:$G$512,$J148)="","",IF(NOT(ISNUMBER(INDEX(Tarifa!$G$13:$G$512,$J148))),"Revisa",IF($J$1=1,INDEX(Tarifa!$G$13:$G$512,$J148),ROUND(ROUND(INDEX(Tarifa!$G$13:$G$512,$J148)*(1+$J$2/100)/$J$3,0)*$J$3,2)))))</f>
        <v/>
      </c>
      <c r="G148" s="42">
        <f>IF(OR(NOT(ISNUMBER(F148)),N(E148)&lt;=1),"",ROUND(F148/E148,3))</f>
        <v/>
      </c>
      <c r="H148" s="43">
        <f>IF($J148="","",IF(INDEX(Tarifa!$H$13:$H$512,$J148)="","",INDEX(Tarifa!$H$13:$H$512,$J148)))</f>
        <v/>
      </c>
      <c r="I148" s="41">
        <f>IF(OR($M$3="No",$M$3="",NOT(ISNUMBER(F148))),"",IF(NOT(ISNUMBER(H148)),"Falta IVA",ROUND(F148*(1+(H148+IF($M$3="Con IVA y recargo",IF(H148=21,5.2,IF(H148=10,1.4,IF(H148=4,0.5,0))),0))/100),2)))</f>
        <v/>
      </c>
      <c r="J148">
        <f>IFERROR(MATCH(138,Tarifa!$O$13:$O$512,0),"")</f>
        <v/>
      </c>
    </row>
    <row r="149" ht="17" customHeight="1">
      <c r="A149" s="38">
        <f>IF($J149="","",IFERROR(IF(INDEX(Tarifa!$E$13:$E$512,$J149)&amp;""=INDEX(Tarifa!$E$13:$E$512,$J148)&amp;"","",INDEX(Tarifa!$E$13:$E$512,$J149)&amp;""),""))</f>
        <v/>
      </c>
      <c r="B149" s="39">
        <f>IF($J149="","",INDEX(Tarifa!$A$13:$A$512,$J149)&amp;"")</f>
        <v/>
      </c>
      <c r="C149" s="39">
        <f>IF($J149="","",INDEX(Tarifa!$B$13:$B$512,$J149)&amp;"")</f>
        <v/>
      </c>
      <c r="D149" s="39">
        <f>IF($J149="","",INDEX(Tarifa!$C$13:$C$512,$J149)&amp;"")</f>
        <v/>
      </c>
      <c r="E149" s="40">
        <f>IF($J149="","",IF(INDEX(Tarifa!$D$13:$D$512,$J149)="","",INDEX(Tarifa!$D$13:$D$512,$J149)))</f>
        <v/>
      </c>
      <c r="F149" s="41">
        <f>IF(OR($J149="",$J$1=""),"",IF(INDEX(Tarifa!$G$13:$G$512,$J149)="","",IF(NOT(ISNUMBER(INDEX(Tarifa!$G$13:$G$512,$J149))),"Revisa",IF($J$1=1,INDEX(Tarifa!$G$13:$G$512,$J149),ROUND(ROUND(INDEX(Tarifa!$G$13:$G$512,$J149)*(1+$J$2/100)/$J$3,0)*$J$3,2)))))</f>
        <v/>
      </c>
      <c r="G149" s="42">
        <f>IF(OR(NOT(ISNUMBER(F149)),N(E149)&lt;=1),"",ROUND(F149/E149,3))</f>
        <v/>
      </c>
      <c r="H149" s="43">
        <f>IF($J149="","",IF(INDEX(Tarifa!$H$13:$H$512,$J149)="","",INDEX(Tarifa!$H$13:$H$512,$J149)))</f>
        <v/>
      </c>
      <c r="I149" s="41">
        <f>IF(OR($M$3="No",$M$3="",NOT(ISNUMBER(F149))),"",IF(NOT(ISNUMBER(H149)),"Falta IVA",ROUND(F149*(1+(H149+IF($M$3="Con IVA y recargo",IF(H149=21,5.2,IF(H149=10,1.4,IF(H149=4,0.5,0))),0))/100),2)))</f>
        <v/>
      </c>
      <c r="J149">
        <f>IFERROR(MATCH(139,Tarifa!$O$13:$O$512,0),"")</f>
        <v/>
      </c>
    </row>
    <row r="150" ht="17" customHeight="1">
      <c r="A150" s="38">
        <f>IF($J150="","",IFERROR(IF(INDEX(Tarifa!$E$13:$E$512,$J150)&amp;""=INDEX(Tarifa!$E$13:$E$512,$J149)&amp;"","",INDEX(Tarifa!$E$13:$E$512,$J150)&amp;""),""))</f>
        <v/>
      </c>
      <c r="B150" s="39">
        <f>IF($J150="","",INDEX(Tarifa!$A$13:$A$512,$J150)&amp;"")</f>
        <v/>
      </c>
      <c r="C150" s="39">
        <f>IF($J150="","",INDEX(Tarifa!$B$13:$B$512,$J150)&amp;"")</f>
        <v/>
      </c>
      <c r="D150" s="39">
        <f>IF($J150="","",INDEX(Tarifa!$C$13:$C$512,$J150)&amp;"")</f>
        <v/>
      </c>
      <c r="E150" s="40">
        <f>IF($J150="","",IF(INDEX(Tarifa!$D$13:$D$512,$J150)="","",INDEX(Tarifa!$D$13:$D$512,$J150)))</f>
        <v/>
      </c>
      <c r="F150" s="41">
        <f>IF(OR($J150="",$J$1=""),"",IF(INDEX(Tarifa!$G$13:$G$512,$J150)="","",IF(NOT(ISNUMBER(INDEX(Tarifa!$G$13:$G$512,$J150))),"Revisa",IF($J$1=1,INDEX(Tarifa!$G$13:$G$512,$J150),ROUND(ROUND(INDEX(Tarifa!$G$13:$G$512,$J150)*(1+$J$2/100)/$J$3,0)*$J$3,2)))))</f>
        <v/>
      </c>
      <c r="G150" s="42">
        <f>IF(OR(NOT(ISNUMBER(F150)),N(E150)&lt;=1),"",ROUND(F150/E150,3))</f>
        <v/>
      </c>
      <c r="H150" s="43">
        <f>IF($J150="","",IF(INDEX(Tarifa!$H$13:$H$512,$J150)="","",INDEX(Tarifa!$H$13:$H$512,$J150)))</f>
        <v/>
      </c>
      <c r="I150" s="41">
        <f>IF(OR($M$3="No",$M$3="",NOT(ISNUMBER(F150))),"",IF(NOT(ISNUMBER(H150)),"Falta IVA",ROUND(F150*(1+(H150+IF($M$3="Con IVA y recargo",IF(H150=21,5.2,IF(H150=10,1.4,IF(H150=4,0.5,0))),0))/100),2)))</f>
        <v/>
      </c>
      <c r="J150">
        <f>IFERROR(MATCH(140,Tarifa!$O$13:$O$512,0),"")</f>
        <v/>
      </c>
    </row>
    <row r="151" ht="17" customHeight="1">
      <c r="A151" s="38">
        <f>IF($J151="","",IFERROR(IF(INDEX(Tarifa!$E$13:$E$512,$J151)&amp;""=INDEX(Tarifa!$E$13:$E$512,$J150)&amp;"","",INDEX(Tarifa!$E$13:$E$512,$J151)&amp;""),""))</f>
        <v/>
      </c>
      <c r="B151" s="39">
        <f>IF($J151="","",INDEX(Tarifa!$A$13:$A$512,$J151)&amp;"")</f>
        <v/>
      </c>
      <c r="C151" s="39">
        <f>IF($J151="","",INDEX(Tarifa!$B$13:$B$512,$J151)&amp;"")</f>
        <v/>
      </c>
      <c r="D151" s="39">
        <f>IF($J151="","",INDEX(Tarifa!$C$13:$C$512,$J151)&amp;"")</f>
        <v/>
      </c>
      <c r="E151" s="40">
        <f>IF($J151="","",IF(INDEX(Tarifa!$D$13:$D$512,$J151)="","",INDEX(Tarifa!$D$13:$D$512,$J151)))</f>
        <v/>
      </c>
      <c r="F151" s="41">
        <f>IF(OR($J151="",$J$1=""),"",IF(INDEX(Tarifa!$G$13:$G$512,$J151)="","",IF(NOT(ISNUMBER(INDEX(Tarifa!$G$13:$G$512,$J151))),"Revisa",IF($J$1=1,INDEX(Tarifa!$G$13:$G$512,$J151),ROUND(ROUND(INDEX(Tarifa!$G$13:$G$512,$J151)*(1+$J$2/100)/$J$3,0)*$J$3,2)))))</f>
        <v/>
      </c>
      <c r="G151" s="42">
        <f>IF(OR(NOT(ISNUMBER(F151)),N(E151)&lt;=1),"",ROUND(F151/E151,3))</f>
        <v/>
      </c>
      <c r="H151" s="43">
        <f>IF($J151="","",IF(INDEX(Tarifa!$H$13:$H$512,$J151)="","",INDEX(Tarifa!$H$13:$H$512,$J151)))</f>
        <v/>
      </c>
      <c r="I151" s="41">
        <f>IF(OR($M$3="No",$M$3="",NOT(ISNUMBER(F151))),"",IF(NOT(ISNUMBER(H151)),"Falta IVA",ROUND(F151*(1+(H151+IF($M$3="Con IVA y recargo",IF(H151=21,5.2,IF(H151=10,1.4,IF(H151=4,0.5,0))),0))/100),2)))</f>
        <v/>
      </c>
      <c r="J151">
        <f>IFERROR(MATCH(141,Tarifa!$O$13:$O$512,0),"")</f>
        <v/>
      </c>
    </row>
    <row r="152" ht="17" customHeight="1">
      <c r="A152" s="38">
        <f>IF($J152="","",IFERROR(IF(INDEX(Tarifa!$E$13:$E$512,$J152)&amp;""=INDEX(Tarifa!$E$13:$E$512,$J151)&amp;"","",INDEX(Tarifa!$E$13:$E$512,$J152)&amp;""),""))</f>
        <v/>
      </c>
      <c r="B152" s="39">
        <f>IF($J152="","",INDEX(Tarifa!$A$13:$A$512,$J152)&amp;"")</f>
        <v/>
      </c>
      <c r="C152" s="39">
        <f>IF($J152="","",INDEX(Tarifa!$B$13:$B$512,$J152)&amp;"")</f>
        <v/>
      </c>
      <c r="D152" s="39">
        <f>IF($J152="","",INDEX(Tarifa!$C$13:$C$512,$J152)&amp;"")</f>
        <v/>
      </c>
      <c r="E152" s="40">
        <f>IF($J152="","",IF(INDEX(Tarifa!$D$13:$D$512,$J152)="","",INDEX(Tarifa!$D$13:$D$512,$J152)))</f>
        <v/>
      </c>
      <c r="F152" s="41">
        <f>IF(OR($J152="",$J$1=""),"",IF(INDEX(Tarifa!$G$13:$G$512,$J152)="","",IF(NOT(ISNUMBER(INDEX(Tarifa!$G$13:$G$512,$J152))),"Revisa",IF($J$1=1,INDEX(Tarifa!$G$13:$G$512,$J152),ROUND(ROUND(INDEX(Tarifa!$G$13:$G$512,$J152)*(1+$J$2/100)/$J$3,0)*$J$3,2)))))</f>
        <v/>
      </c>
      <c r="G152" s="42">
        <f>IF(OR(NOT(ISNUMBER(F152)),N(E152)&lt;=1),"",ROUND(F152/E152,3))</f>
        <v/>
      </c>
      <c r="H152" s="43">
        <f>IF($J152="","",IF(INDEX(Tarifa!$H$13:$H$512,$J152)="","",INDEX(Tarifa!$H$13:$H$512,$J152)))</f>
        <v/>
      </c>
      <c r="I152" s="41">
        <f>IF(OR($M$3="No",$M$3="",NOT(ISNUMBER(F152))),"",IF(NOT(ISNUMBER(H152)),"Falta IVA",ROUND(F152*(1+(H152+IF($M$3="Con IVA y recargo",IF(H152=21,5.2,IF(H152=10,1.4,IF(H152=4,0.5,0))),0))/100),2)))</f>
        <v/>
      </c>
      <c r="J152">
        <f>IFERROR(MATCH(142,Tarifa!$O$13:$O$512,0),"")</f>
        <v/>
      </c>
    </row>
    <row r="153" ht="17" customHeight="1">
      <c r="A153" s="38">
        <f>IF($J153="","",IFERROR(IF(INDEX(Tarifa!$E$13:$E$512,$J153)&amp;""=INDEX(Tarifa!$E$13:$E$512,$J152)&amp;"","",INDEX(Tarifa!$E$13:$E$512,$J153)&amp;""),""))</f>
        <v/>
      </c>
      <c r="B153" s="39">
        <f>IF($J153="","",INDEX(Tarifa!$A$13:$A$512,$J153)&amp;"")</f>
        <v/>
      </c>
      <c r="C153" s="39">
        <f>IF($J153="","",INDEX(Tarifa!$B$13:$B$512,$J153)&amp;"")</f>
        <v/>
      </c>
      <c r="D153" s="39">
        <f>IF($J153="","",INDEX(Tarifa!$C$13:$C$512,$J153)&amp;"")</f>
        <v/>
      </c>
      <c r="E153" s="40">
        <f>IF($J153="","",IF(INDEX(Tarifa!$D$13:$D$512,$J153)="","",INDEX(Tarifa!$D$13:$D$512,$J153)))</f>
        <v/>
      </c>
      <c r="F153" s="41">
        <f>IF(OR($J153="",$J$1=""),"",IF(INDEX(Tarifa!$G$13:$G$512,$J153)="","",IF(NOT(ISNUMBER(INDEX(Tarifa!$G$13:$G$512,$J153))),"Revisa",IF($J$1=1,INDEX(Tarifa!$G$13:$G$512,$J153),ROUND(ROUND(INDEX(Tarifa!$G$13:$G$512,$J153)*(1+$J$2/100)/$J$3,0)*$J$3,2)))))</f>
        <v/>
      </c>
      <c r="G153" s="42">
        <f>IF(OR(NOT(ISNUMBER(F153)),N(E153)&lt;=1),"",ROUND(F153/E153,3))</f>
        <v/>
      </c>
      <c r="H153" s="43">
        <f>IF($J153="","",IF(INDEX(Tarifa!$H$13:$H$512,$J153)="","",INDEX(Tarifa!$H$13:$H$512,$J153)))</f>
        <v/>
      </c>
      <c r="I153" s="41">
        <f>IF(OR($M$3="No",$M$3="",NOT(ISNUMBER(F153))),"",IF(NOT(ISNUMBER(H153)),"Falta IVA",ROUND(F153*(1+(H153+IF($M$3="Con IVA y recargo",IF(H153=21,5.2,IF(H153=10,1.4,IF(H153=4,0.5,0))),0))/100),2)))</f>
        <v/>
      </c>
      <c r="J153">
        <f>IFERROR(MATCH(143,Tarifa!$O$13:$O$512,0),"")</f>
        <v/>
      </c>
    </row>
    <row r="154" ht="17" customHeight="1">
      <c r="A154" s="38">
        <f>IF($J154="","",IFERROR(IF(INDEX(Tarifa!$E$13:$E$512,$J154)&amp;""=INDEX(Tarifa!$E$13:$E$512,$J153)&amp;"","",INDEX(Tarifa!$E$13:$E$512,$J154)&amp;""),""))</f>
        <v/>
      </c>
      <c r="B154" s="39">
        <f>IF($J154="","",INDEX(Tarifa!$A$13:$A$512,$J154)&amp;"")</f>
        <v/>
      </c>
      <c r="C154" s="39">
        <f>IF($J154="","",INDEX(Tarifa!$B$13:$B$512,$J154)&amp;"")</f>
        <v/>
      </c>
      <c r="D154" s="39">
        <f>IF($J154="","",INDEX(Tarifa!$C$13:$C$512,$J154)&amp;"")</f>
        <v/>
      </c>
      <c r="E154" s="40">
        <f>IF($J154="","",IF(INDEX(Tarifa!$D$13:$D$512,$J154)="","",INDEX(Tarifa!$D$13:$D$512,$J154)))</f>
        <v/>
      </c>
      <c r="F154" s="41">
        <f>IF(OR($J154="",$J$1=""),"",IF(INDEX(Tarifa!$G$13:$G$512,$J154)="","",IF(NOT(ISNUMBER(INDEX(Tarifa!$G$13:$G$512,$J154))),"Revisa",IF($J$1=1,INDEX(Tarifa!$G$13:$G$512,$J154),ROUND(ROUND(INDEX(Tarifa!$G$13:$G$512,$J154)*(1+$J$2/100)/$J$3,0)*$J$3,2)))))</f>
        <v/>
      </c>
      <c r="G154" s="42">
        <f>IF(OR(NOT(ISNUMBER(F154)),N(E154)&lt;=1),"",ROUND(F154/E154,3))</f>
        <v/>
      </c>
      <c r="H154" s="43">
        <f>IF($J154="","",IF(INDEX(Tarifa!$H$13:$H$512,$J154)="","",INDEX(Tarifa!$H$13:$H$512,$J154)))</f>
        <v/>
      </c>
      <c r="I154" s="41">
        <f>IF(OR($M$3="No",$M$3="",NOT(ISNUMBER(F154))),"",IF(NOT(ISNUMBER(H154)),"Falta IVA",ROUND(F154*(1+(H154+IF($M$3="Con IVA y recargo",IF(H154=21,5.2,IF(H154=10,1.4,IF(H154=4,0.5,0))),0))/100),2)))</f>
        <v/>
      </c>
      <c r="J154">
        <f>IFERROR(MATCH(144,Tarifa!$O$13:$O$512,0),"")</f>
        <v/>
      </c>
    </row>
    <row r="155" ht="17" customHeight="1">
      <c r="A155" s="38">
        <f>IF($J155="","",IFERROR(IF(INDEX(Tarifa!$E$13:$E$512,$J155)&amp;""=INDEX(Tarifa!$E$13:$E$512,$J154)&amp;"","",INDEX(Tarifa!$E$13:$E$512,$J155)&amp;""),""))</f>
        <v/>
      </c>
      <c r="B155" s="39">
        <f>IF($J155="","",INDEX(Tarifa!$A$13:$A$512,$J155)&amp;"")</f>
        <v/>
      </c>
      <c r="C155" s="39">
        <f>IF($J155="","",INDEX(Tarifa!$B$13:$B$512,$J155)&amp;"")</f>
        <v/>
      </c>
      <c r="D155" s="39">
        <f>IF($J155="","",INDEX(Tarifa!$C$13:$C$512,$J155)&amp;"")</f>
        <v/>
      </c>
      <c r="E155" s="40">
        <f>IF($J155="","",IF(INDEX(Tarifa!$D$13:$D$512,$J155)="","",INDEX(Tarifa!$D$13:$D$512,$J155)))</f>
        <v/>
      </c>
      <c r="F155" s="41">
        <f>IF(OR($J155="",$J$1=""),"",IF(INDEX(Tarifa!$G$13:$G$512,$J155)="","",IF(NOT(ISNUMBER(INDEX(Tarifa!$G$13:$G$512,$J155))),"Revisa",IF($J$1=1,INDEX(Tarifa!$G$13:$G$512,$J155),ROUND(ROUND(INDEX(Tarifa!$G$13:$G$512,$J155)*(1+$J$2/100)/$J$3,0)*$J$3,2)))))</f>
        <v/>
      </c>
      <c r="G155" s="42">
        <f>IF(OR(NOT(ISNUMBER(F155)),N(E155)&lt;=1),"",ROUND(F155/E155,3))</f>
        <v/>
      </c>
      <c r="H155" s="43">
        <f>IF($J155="","",IF(INDEX(Tarifa!$H$13:$H$512,$J155)="","",INDEX(Tarifa!$H$13:$H$512,$J155)))</f>
        <v/>
      </c>
      <c r="I155" s="41">
        <f>IF(OR($M$3="No",$M$3="",NOT(ISNUMBER(F155))),"",IF(NOT(ISNUMBER(H155)),"Falta IVA",ROUND(F155*(1+(H155+IF($M$3="Con IVA y recargo",IF(H155=21,5.2,IF(H155=10,1.4,IF(H155=4,0.5,0))),0))/100),2)))</f>
        <v/>
      </c>
      <c r="J155">
        <f>IFERROR(MATCH(145,Tarifa!$O$13:$O$512,0),"")</f>
        <v/>
      </c>
    </row>
    <row r="156" ht="17" customHeight="1">
      <c r="A156" s="38">
        <f>IF($J156="","",IFERROR(IF(INDEX(Tarifa!$E$13:$E$512,$J156)&amp;""=INDEX(Tarifa!$E$13:$E$512,$J155)&amp;"","",INDEX(Tarifa!$E$13:$E$512,$J156)&amp;""),""))</f>
        <v/>
      </c>
      <c r="B156" s="39">
        <f>IF($J156="","",INDEX(Tarifa!$A$13:$A$512,$J156)&amp;"")</f>
        <v/>
      </c>
      <c r="C156" s="39">
        <f>IF($J156="","",INDEX(Tarifa!$B$13:$B$512,$J156)&amp;"")</f>
        <v/>
      </c>
      <c r="D156" s="39">
        <f>IF($J156="","",INDEX(Tarifa!$C$13:$C$512,$J156)&amp;"")</f>
        <v/>
      </c>
      <c r="E156" s="40">
        <f>IF($J156="","",IF(INDEX(Tarifa!$D$13:$D$512,$J156)="","",INDEX(Tarifa!$D$13:$D$512,$J156)))</f>
        <v/>
      </c>
      <c r="F156" s="41">
        <f>IF(OR($J156="",$J$1=""),"",IF(INDEX(Tarifa!$G$13:$G$512,$J156)="","",IF(NOT(ISNUMBER(INDEX(Tarifa!$G$13:$G$512,$J156))),"Revisa",IF($J$1=1,INDEX(Tarifa!$G$13:$G$512,$J156),ROUND(ROUND(INDEX(Tarifa!$G$13:$G$512,$J156)*(1+$J$2/100)/$J$3,0)*$J$3,2)))))</f>
        <v/>
      </c>
      <c r="G156" s="42">
        <f>IF(OR(NOT(ISNUMBER(F156)),N(E156)&lt;=1),"",ROUND(F156/E156,3))</f>
        <v/>
      </c>
      <c r="H156" s="43">
        <f>IF($J156="","",IF(INDEX(Tarifa!$H$13:$H$512,$J156)="","",INDEX(Tarifa!$H$13:$H$512,$J156)))</f>
        <v/>
      </c>
      <c r="I156" s="41">
        <f>IF(OR($M$3="No",$M$3="",NOT(ISNUMBER(F156))),"",IF(NOT(ISNUMBER(H156)),"Falta IVA",ROUND(F156*(1+(H156+IF($M$3="Con IVA y recargo",IF(H156=21,5.2,IF(H156=10,1.4,IF(H156=4,0.5,0))),0))/100),2)))</f>
        <v/>
      </c>
      <c r="J156">
        <f>IFERROR(MATCH(146,Tarifa!$O$13:$O$512,0),"")</f>
        <v/>
      </c>
    </row>
    <row r="157" ht="17" customHeight="1">
      <c r="A157" s="38">
        <f>IF($J157="","",IFERROR(IF(INDEX(Tarifa!$E$13:$E$512,$J157)&amp;""=INDEX(Tarifa!$E$13:$E$512,$J156)&amp;"","",INDEX(Tarifa!$E$13:$E$512,$J157)&amp;""),""))</f>
        <v/>
      </c>
      <c r="B157" s="39">
        <f>IF($J157="","",INDEX(Tarifa!$A$13:$A$512,$J157)&amp;"")</f>
        <v/>
      </c>
      <c r="C157" s="39">
        <f>IF($J157="","",INDEX(Tarifa!$B$13:$B$512,$J157)&amp;"")</f>
        <v/>
      </c>
      <c r="D157" s="39">
        <f>IF($J157="","",INDEX(Tarifa!$C$13:$C$512,$J157)&amp;"")</f>
        <v/>
      </c>
      <c r="E157" s="40">
        <f>IF($J157="","",IF(INDEX(Tarifa!$D$13:$D$512,$J157)="","",INDEX(Tarifa!$D$13:$D$512,$J157)))</f>
        <v/>
      </c>
      <c r="F157" s="41">
        <f>IF(OR($J157="",$J$1=""),"",IF(INDEX(Tarifa!$G$13:$G$512,$J157)="","",IF(NOT(ISNUMBER(INDEX(Tarifa!$G$13:$G$512,$J157))),"Revisa",IF($J$1=1,INDEX(Tarifa!$G$13:$G$512,$J157),ROUND(ROUND(INDEX(Tarifa!$G$13:$G$512,$J157)*(1+$J$2/100)/$J$3,0)*$J$3,2)))))</f>
        <v/>
      </c>
      <c r="G157" s="42">
        <f>IF(OR(NOT(ISNUMBER(F157)),N(E157)&lt;=1),"",ROUND(F157/E157,3))</f>
        <v/>
      </c>
      <c r="H157" s="43">
        <f>IF($J157="","",IF(INDEX(Tarifa!$H$13:$H$512,$J157)="","",INDEX(Tarifa!$H$13:$H$512,$J157)))</f>
        <v/>
      </c>
      <c r="I157" s="41">
        <f>IF(OR($M$3="No",$M$3="",NOT(ISNUMBER(F157))),"",IF(NOT(ISNUMBER(H157)),"Falta IVA",ROUND(F157*(1+(H157+IF($M$3="Con IVA y recargo",IF(H157=21,5.2,IF(H157=10,1.4,IF(H157=4,0.5,0))),0))/100),2)))</f>
        <v/>
      </c>
      <c r="J157">
        <f>IFERROR(MATCH(147,Tarifa!$O$13:$O$512,0),"")</f>
        <v/>
      </c>
    </row>
    <row r="158" ht="17" customHeight="1">
      <c r="A158" s="38">
        <f>IF($J158="","",IFERROR(IF(INDEX(Tarifa!$E$13:$E$512,$J158)&amp;""=INDEX(Tarifa!$E$13:$E$512,$J157)&amp;"","",INDEX(Tarifa!$E$13:$E$512,$J158)&amp;""),""))</f>
        <v/>
      </c>
      <c r="B158" s="39">
        <f>IF($J158="","",INDEX(Tarifa!$A$13:$A$512,$J158)&amp;"")</f>
        <v/>
      </c>
      <c r="C158" s="39">
        <f>IF($J158="","",INDEX(Tarifa!$B$13:$B$512,$J158)&amp;"")</f>
        <v/>
      </c>
      <c r="D158" s="39">
        <f>IF($J158="","",INDEX(Tarifa!$C$13:$C$512,$J158)&amp;"")</f>
        <v/>
      </c>
      <c r="E158" s="40">
        <f>IF($J158="","",IF(INDEX(Tarifa!$D$13:$D$512,$J158)="","",INDEX(Tarifa!$D$13:$D$512,$J158)))</f>
        <v/>
      </c>
      <c r="F158" s="41">
        <f>IF(OR($J158="",$J$1=""),"",IF(INDEX(Tarifa!$G$13:$G$512,$J158)="","",IF(NOT(ISNUMBER(INDEX(Tarifa!$G$13:$G$512,$J158))),"Revisa",IF($J$1=1,INDEX(Tarifa!$G$13:$G$512,$J158),ROUND(ROUND(INDEX(Tarifa!$G$13:$G$512,$J158)*(1+$J$2/100)/$J$3,0)*$J$3,2)))))</f>
        <v/>
      </c>
      <c r="G158" s="42">
        <f>IF(OR(NOT(ISNUMBER(F158)),N(E158)&lt;=1),"",ROUND(F158/E158,3))</f>
        <v/>
      </c>
      <c r="H158" s="43">
        <f>IF($J158="","",IF(INDEX(Tarifa!$H$13:$H$512,$J158)="","",INDEX(Tarifa!$H$13:$H$512,$J158)))</f>
        <v/>
      </c>
      <c r="I158" s="41">
        <f>IF(OR($M$3="No",$M$3="",NOT(ISNUMBER(F158))),"",IF(NOT(ISNUMBER(H158)),"Falta IVA",ROUND(F158*(1+(H158+IF($M$3="Con IVA y recargo",IF(H158=21,5.2,IF(H158=10,1.4,IF(H158=4,0.5,0))),0))/100),2)))</f>
        <v/>
      </c>
      <c r="J158">
        <f>IFERROR(MATCH(148,Tarifa!$O$13:$O$512,0),"")</f>
        <v/>
      </c>
    </row>
    <row r="159" ht="17" customHeight="1">
      <c r="A159" s="38">
        <f>IF($J159="","",IFERROR(IF(INDEX(Tarifa!$E$13:$E$512,$J159)&amp;""=INDEX(Tarifa!$E$13:$E$512,$J158)&amp;"","",INDEX(Tarifa!$E$13:$E$512,$J159)&amp;""),""))</f>
        <v/>
      </c>
      <c r="B159" s="39">
        <f>IF($J159="","",INDEX(Tarifa!$A$13:$A$512,$J159)&amp;"")</f>
        <v/>
      </c>
      <c r="C159" s="39">
        <f>IF($J159="","",INDEX(Tarifa!$B$13:$B$512,$J159)&amp;"")</f>
        <v/>
      </c>
      <c r="D159" s="39">
        <f>IF($J159="","",INDEX(Tarifa!$C$13:$C$512,$J159)&amp;"")</f>
        <v/>
      </c>
      <c r="E159" s="40">
        <f>IF($J159="","",IF(INDEX(Tarifa!$D$13:$D$512,$J159)="","",INDEX(Tarifa!$D$13:$D$512,$J159)))</f>
        <v/>
      </c>
      <c r="F159" s="41">
        <f>IF(OR($J159="",$J$1=""),"",IF(INDEX(Tarifa!$G$13:$G$512,$J159)="","",IF(NOT(ISNUMBER(INDEX(Tarifa!$G$13:$G$512,$J159))),"Revisa",IF($J$1=1,INDEX(Tarifa!$G$13:$G$512,$J159),ROUND(ROUND(INDEX(Tarifa!$G$13:$G$512,$J159)*(1+$J$2/100)/$J$3,0)*$J$3,2)))))</f>
        <v/>
      </c>
      <c r="G159" s="42">
        <f>IF(OR(NOT(ISNUMBER(F159)),N(E159)&lt;=1),"",ROUND(F159/E159,3))</f>
        <v/>
      </c>
      <c r="H159" s="43">
        <f>IF($J159="","",IF(INDEX(Tarifa!$H$13:$H$512,$J159)="","",INDEX(Tarifa!$H$13:$H$512,$J159)))</f>
        <v/>
      </c>
      <c r="I159" s="41">
        <f>IF(OR($M$3="No",$M$3="",NOT(ISNUMBER(F159))),"",IF(NOT(ISNUMBER(H159)),"Falta IVA",ROUND(F159*(1+(H159+IF($M$3="Con IVA y recargo",IF(H159=21,5.2,IF(H159=10,1.4,IF(H159=4,0.5,0))),0))/100),2)))</f>
        <v/>
      </c>
      <c r="J159">
        <f>IFERROR(MATCH(149,Tarifa!$O$13:$O$512,0),"")</f>
        <v/>
      </c>
    </row>
    <row r="160" ht="17" customHeight="1">
      <c r="A160" s="38">
        <f>IF($J160="","",IFERROR(IF(INDEX(Tarifa!$E$13:$E$512,$J160)&amp;""=INDEX(Tarifa!$E$13:$E$512,$J159)&amp;"","",INDEX(Tarifa!$E$13:$E$512,$J160)&amp;""),""))</f>
        <v/>
      </c>
      <c r="B160" s="39">
        <f>IF($J160="","",INDEX(Tarifa!$A$13:$A$512,$J160)&amp;"")</f>
        <v/>
      </c>
      <c r="C160" s="39">
        <f>IF($J160="","",INDEX(Tarifa!$B$13:$B$512,$J160)&amp;"")</f>
        <v/>
      </c>
      <c r="D160" s="39">
        <f>IF($J160="","",INDEX(Tarifa!$C$13:$C$512,$J160)&amp;"")</f>
        <v/>
      </c>
      <c r="E160" s="40">
        <f>IF($J160="","",IF(INDEX(Tarifa!$D$13:$D$512,$J160)="","",INDEX(Tarifa!$D$13:$D$512,$J160)))</f>
        <v/>
      </c>
      <c r="F160" s="41">
        <f>IF(OR($J160="",$J$1=""),"",IF(INDEX(Tarifa!$G$13:$G$512,$J160)="","",IF(NOT(ISNUMBER(INDEX(Tarifa!$G$13:$G$512,$J160))),"Revisa",IF($J$1=1,INDEX(Tarifa!$G$13:$G$512,$J160),ROUND(ROUND(INDEX(Tarifa!$G$13:$G$512,$J160)*(1+$J$2/100)/$J$3,0)*$J$3,2)))))</f>
        <v/>
      </c>
      <c r="G160" s="42">
        <f>IF(OR(NOT(ISNUMBER(F160)),N(E160)&lt;=1),"",ROUND(F160/E160,3))</f>
        <v/>
      </c>
      <c r="H160" s="43">
        <f>IF($J160="","",IF(INDEX(Tarifa!$H$13:$H$512,$J160)="","",INDEX(Tarifa!$H$13:$H$512,$J160)))</f>
        <v/>
      </c>
      <c r="I160" s="41">
        <f>IF(OR($M$3="No",$M$3="",NOT(ISNUMBER(F160))),"",IF(NOT(ISNUMBER(H160)),"Falta IVA",ROUND(F160*(1+(H160+IF($M$3="Con IVA y recargo",IF(H160=21,5.2,IF(H160=10,1.4,IF(H160=4,0.5,0))),0))/100),2)))</f>
        <v/>
      </c>
      <c r="J160">
        <f>IFERROR(MATCH(150,Tarifa!$O$13:$O$512,0),"")</f>
        <v/>
      </c>
    </row>
    <row r="161" ht="17" customHeight="1">
      <c r="A161" s="38">
        <f>IF($J161="","",IFERROR(IF(INDEX(Tarifa!$E$13:$E$512,$J161)&amp;""=INDEX(Tarifa!$E$13:$E$512,$J160)&amp;"","",INDEX(Tarifa!$E$13:$E$512,$J161)&amp;""),""))</f>
        <v/>
      </c>
      <c r="B161" s="39">
        <f>IF($J161="","",INDEX(Tarifa!$A$13:$A$512,$J161)&amp;"")</f>
        <v/>
      </c>
      <c r="C161" s="39">
        <f>IF($J161="","",INDEX(Tarifa!$B$13:$B$512,$J161)&amp;"")</f>
        <v/>
      </c>
      <c r="D161" s="39">
        <f>IF($J161="","",INDEX(Tarifa!$C$13:$C$512,$J161)&amp;"")</f>
        <v/>
      </c>
      <c r="E161" s="40">
        <f>IF($J161="","",IF(INDEX(Tarifa!$D$13:$D$512,$J161)="","",INDEX(Tarifa!$D$13:$D$512,$J161)))</f>
        <v/>
      </c>
      <c r="F161" s="41">
        <f>IF(OR($J161="",$J$1=""),"",IF(INDEX(Tarifa!$G$13:$G$512,$J161)="","",IF(NOT(ISNUMBER(INDEX(Tarifa!$G$13:$G$512,$J161))),"Revisa",IF($J$1=1,INDEX(Tarifa!$G$13:$G$512,$J161),ROUND(ROUND(INDEX(Tarifa!$G$13:$G$512,$J161)*(1+$J$2/100)/$J$3,0)*$J$3,2)))))</f>
        <v/>
      </c>
      <c r="G161" s="42">
        <f>IF(OR(NOT(ISNUMBER(F161)),N(E161)&lt;=1),"",ROUND(F161/E161,3))</f>
        <v/>
      </c>
      <c r="H161" s="43">
        <f>IF($J161="","",IF(INDEX(Tarifa!$H$13:$H$512,$J161)="","",INDEX(Tarifa!$H$13:$H$512,$J161)))</f>
        <v/>
      </c>
      <c r="I161" s="41">
        <f>IF(OR($M$3="No",$M$3="",NOT(ISNUMBER(F161))),"",IF(NOT(ISNUMBER(H161)),"Falta IVA",ROUND(F161*(1+(H161+IF($M$3="Con IVA y recargo",IF(H161=21,5.2,IF(H161=10,1.4,IF(H161=4,0.5,0))),0))/100),2)))</f>
        <v/>
      </c>
      <c r="J161">
        <f>IFERROR(MATCH(151,Tarifa!$O$13:$O$512,0),"")</f>
        <v/>
      </c>
    </row>
    <row r="162" ht="17" customHeight="1">
      <c r="A162" s="38">
        <f>IF($J162="","",IFERROR(IF(INDEX(Tarifa!$E$13:$E$512,$J162)&amp;""=INDEX(Tarifa!$E$13:$E$512,$J161)&amp;"","",INDEX(Tarifa!$E$13:$E$512,$J162)&amp;""),""))</f>
        <v/>
      </c>
      <c r="B162" s="39">
        <f>IF($J162="","",INDEX(Tarifa!$A$13:$A$512,$J162)&amp;"")</f>
        <v/>
      </c>
      <c r="C162" s="39">
        <f>IF($J162="","",INDEX(Tarifa!$B$13:$B$512,$J162)&amp;"")</f>
        <v/>
      </c>
      <c r="D162" s="39">
        <f>IF($J162="","",INDEX(Tarifa!$C$13:$C$512,$J162)&amp;"")</f>
        <v/>
      </c>
      <c r="E162" s="40">
        <f>IF($J162="","",IF(INDEX(Tarifa!$D$13:$D$512,$J162)="","",INDEX(Tarifa!$D$13:$D$512,$J162)))</f>
        <v/>
      </c>
      <c r="F162" s="41">
        <f>IF(OR($J162="",$J$1=""),"",IF(INDEX(Tarifa!$G$13:$G$512,$J162)="","",IF(NOT(ISNUMBER(INDEX(Tarifa!$G$13:$G$512,$J162))),"Revisa",IF($J$1=1,INDEX(Tarifa!$G$13:$G$512,$J162),ROUND(ROUND(INDEX(Tarifa!$G$13:$G$512,$J162)*(1+$J$2/100)/$J$3,0)*$J$3,2)))))</f>
        <v/>
      </c>
      <c r="G162" s="42">
        <f>IF(OR(NOT(ISNUMBER(F162)),N(E162)&lt;=1),"",ROUND(F162/E162,3))</f>
        <v/>
      </c>
      <c r="H162" s="43">
        <f>IF($J162="","",IF(INDEX(Tarifa!$H$13:$H$512,$J162)="","",INDEX(Tarifa!$H$13:$H$512,$J162)))</f>
        <v/>
      </c>
      <c r="I162" s="41">
        <f>IF(OR($M$3="No",$M$3="",NOT(ISNUMBER(F162))),"",IF(NOT(ISNUMBER(H162)),"Falta IVA",ROUND(F162*(1+(H162+IF($M$3="Con IVA y recargo",IF(H162=21,5.2,IF(H162=10,1.4,IF(H162=4,0.5,0))),0))/100),2)))</f>
        <v/>
      </c>
      <c r="J162">
        <f>IFERROR(MATCH(152,Tarifa!$O$13:$O$512,0),"")</f>
        <v/>
      </c>
    </row>
    <row r="163" ht="17" customHeight="1">
      <c r="A163" s="38">
        <f>IF($J163="","",IFERROR(IF(INDEX(Tarifa!$E$13:$E$512,$J163)&amp;""=INDEX(Tarifa!$E$13:$E$512,$J162)&amp;"","",INDEX(Tarifa!$E$13:$E$512,$J163)&amp;""),""))</f>
        <v/>
      </c>
      <c r="B163" s="39">
        <f>IF($J163="","",INDEX(Tarifa!$A$13:$A$512,$J163)&amp;"")</f>
        <v/>
      </c>
      <c r="C163" s="39">
        <f>IF($J163="","",INDEX(Tarifa!$B$13:$B$512,$J163)&amp;"")</f>
        <v/>
      </c>
      <c r="D163" s="39">
        <f>IF($J163="","",INDEX(Tarifa!$C$13:$C$512,$J163)&amp;"")</f>
        <v/>
      </c>
      <c r="E163" s="40">
        <f>IF($J163="","",IF(INDEX(Tarifa!$D$13:$D$512,$J163)="","",INDEX(Tarifa!$D$13:$D$512,$J163)))</f>
        <v/>
      </c>
      <c r="F163" s="41">
        <f>IF(OR($J163="",$J$1=""),"",IF(INDEX(Tarifa!$G$13:$G$512,$J163)="","",IF(NOT(ISNUMBER(INDEX(Tarifa!$G$13:$G$512,$J163))),"Revisa",IF($J$1=1,INDEX(Tarifa!$G$13:$G$512,$J163),ROUND(ROUND(INDEX(Tarifa!$G$13:$G$512,$J163)*(1+$J$2/100)/$J$3,0)*$J$3,2)))))</f>
        <v/>
      </c>
      <c r="G163" s="42">
        <f>IF(OR(NOT(ISNUMBER(F163)),N(E163)&lt;=1),"",ROUND(F163/E163,3))</f>
        <v/>
      </c>
      <c r="H163" s="43">
        <f>IF($J163="","",IF(INDEX(Tarifa!$H$13:$H$512,$J163)="","",INDEX(Tarifa!$H$13:$H$512,$J163)))</f>
        <v/>
      </c>
      <c r="I163" s="41">
        <f>IF(OR($M$3="No",$M$3="",NOT(ISNUMBER(F163))),"",IF(NOT(ISNUMBER(H163)),"Falta IVA",ROUND(F163*(1+(H163+IF($M$3="Con IVA y recargo",IF(H163=21,5.2,IF(H163=10,1.4,IF(H163=4,0.5,0))),0))/100),2)))</f>
        <v/>
      </c>
      <c r="J163">
        <f>IFERROR(MATCH(153,Tarifa!$O$13:$O$512,0),"")</f>
        <v/>
      </c>
    </row>
    <row r="164" ht="17" customHeight="1">
      <c r="A164" s="38">
        <f>IF($J164="","",IFERROR(IF(INDEX(Tarifa!$E$13:$E$512,$J164)&amp;""=INDEX(Tarifa!$E$13:$E$512,$J163)&amp;"","",INDEX(Tarifa!$E$13:$E$512,$J164)&amp;""),""))</f>
        <v/>
      </c>
      <c r="B164" s="39">
        <f>IF($J164="","",INDEX(Tarifa!$A$13:$A$512,$J164)&amp;"")</f>
        <v/>
      </c>
      <c r="C164" s="39">
        <f>IF($J164="","",INDEX(Tarifa!$B$13:$B$512,$J164)&amp;"")</f>
        <v/>
      </c>
      <c r="D164" s="39">
        <f>IF($J164="","",INDEX(Tarifa!$C$13:$C$512,$J164)&amp;"")</f>
        <v/>
      </c>
      <c r="E164" s="40">
        <f>IF($J164="","",IF(INDEX(Tarifa!$D$13:$D$512,$J164)="","",INDEX(Tarifa!$D$13:$D$512,$J164)))</f>
        <v/>
      </c>
      <c r="F164" s="41">
        <f>IF(OR($J164="",$J$1=""),"",IF(INDEX(Tarifa!$G$13:$G$512,$J164)="","",IF(NOT(ISNUMBER(INDEX(Tarifa!$G$13:$G$512,$J164))),"Revisa",IF($J$1=1,INDEX(Tarifa!$G$13:$G$512,$J164),ROUND(ROUND(INDEX(Tarifa!$G$13:$G$512,$J164)*(1+$J$2/100)/$J$3,0)*$J$3,2)))))</f>
        <v/>
      </c>
      <c r="G164" s="42">
        <f>IF(OR(NOT(ISNUMBER(F164)),N(E164)&lt;=1),"",ROUND(F164/E164,3))</f>
        <v/>
      </c>
      <c r="H164" s="43">
        <f>IF($J164="","",IF(INDEX(Tarifa!$H$13:$H$512,$J164)="","",INDEX(Tarifa!$H$13:$H$512,$J164)))</f>
        <v/>
      </c>
      <c r="I164" s="41">
        <f>IF(OR($M$3="No",$M$3="",NOT(ISNUMBER(F164))),"",IF(NOT(ISNUMBER(H164)),"Falta IVA",ROUND(F164*(1+(H164+IF($M$3="Con IVA y recargo",IF(H164=21,5.2,IF(H164=10,1.4,IF(H164=4,0.5,0))),0))/100),2)))</f>
        <v/>
      </c>
      <c r="J164">
        <f>IFERROR(MATCH(154,Tarifa!$O$13:$O$512,0),"")</f>
        <v/>
      </c>
    </row>
    <row r="165" ht="17" customHeight="1">
      <c r="A165" s="38">
        <f>IF($J165="","",IFERROR(IF(INDEX(Tarifa!$E$13:$E$512,$J165)&amp;""=INDEX(Tarifa!$E$13:$E$512,$J164)&amp;"","",INDEX(Tarifa!$E$13:$E$512,$J165)&amp;""),""))</f>
        <v/>
      </c>
      <c r="B165" s="39">
        <f>IF($J165="","",INDEX(Tarifa!$A$13:$A$512,$J165)&amp;"")</f>
        <v/>
      </c>
      <c r="C165" s="39">
        <f>IF($J165="","",INDEX(Tarifa!$B$13:$B$512,$J165)&amp;"")</f>
        <v/>
      </c>
      <c r="D165" s="39">
        <f>IF($J165="","",INDEX(Tarifa!$C$13:$C$512,$J165)&amp;"")</f>
        <v/>
      </c>
      <c r="E165" s="40">
        <f>IF($J165="","",IF(INDEX(Tarifa!$D$13:$D$512,$J165)="","",INDEX(Tarifa!$D$13:$D$512,$J165)))</f>
        <v/>
      </c>
      <c r="F165" s="41">
        <f>IF(OR($J165="",$J$1=""),"",IF(INDEX(Tarifa!$G$13:$G$512,$J165)="","",IF(NOT(ISNUMBER(INDEX(Tarifa!$G$13:$G$512,$J165))),"Revisa",IF($J$1=1,INDEX(Tarifa!$G$13:$G$512,$J165),ROUND(ROUND(INDEX(Tarifa!$G$13:$G$512,$J165)*(1+$J$2/100)/$J$3,0)*$J$3,2)))))</f>
        <v/>
      </c>
      <c r="G165" s="42">
        <f>IF(OR(NOT(ISNUMBER(F165)),N(E165)&lt;=1),"",ROUND(F165/E165,3))</f>
        <v/>
      </c>
      <c r="H165" s="43">
        <f>IF($J165="","",IF(INDEX(Tarifa!$H$13:$H$512,$J165)="","",INDEX(Tarifa!$H$13:$H$512,$J165)))</f>
        <v/>
      </c>
      <c r="I165" s="41">
        <f>IF(OR($M$3="No",$M$3="",NOT(ISNUMBER(F165))),"",IF(NOT(ISNUMBER(H165)),"Falta IVA",ROUND(F165*(1+(H165+IF($M$3="Con IVA y recargo",IF(H165=21,5.2,IF(H165=10,1.4,IF(H165=4,0.5,0))),0))/100),2)))</f>
        <v/>
      </c>
      <c r="J165">
        <f>IFERROR(MATCH(155,Tarifa!$O$13:$O$512,0),"")</f>
        <v/>
      </c>
    </row>
    <row r="166" ht="17" customHeight="1">
      <c r="A166" s="38">
        <f>IF($J166="","",IFERROR(IF(INDEX(Tarifa!$E$13:$E$512,$J166)&amp;""=INDEX(Tarifa!$E$13:$E$512,$J165)&amp;"","",INDEX(Tarifa!$E$13:$E$512,$J166)&amp;""),""))</f>
        <v/>
      </c>
      <c r="B166" s="39">
        <f>IF($J166="","",INDEX(Tarifa!$A$13:$A$512,$J166)&amp;"")</f>
        <v/>
      </c>
      <c r="C166" s="39">
        <f>IF($J166="","",INDEX(Tarifa!$B$13:$B$512,$J166)&amp;"")</f>
        <v/>
      </c>
      <c r="D166" s="39">
        <f>IF($J166="","",INDEX(Tarifa!$C$13:$C$512,$J166)&amp;"")</f>
        <v/>
      </c>
      <c r="E166" s="40">
        <f>IF($J166="","",IF(INDEX(Tarifa!$D$13:$D$512,$J166)="","",INDEX(Tarifa!$D$13:$D$512,$J166)))</f>
        <v/>
      </c>
      <c r="F166" s="41">
        <f>IF(OR($J166="",$J$1=""),"",IF(INDEX(Tarifa!$G$13:$G$512,$J166)="","",IF(NOT(ISNUMBER(INDEX(Tarifa!$G$13:$G$512,$J166))),"Revisa",IF($J$1=1,INDEX(Tarifa!$G$13:$G$512,$J166),ROUND(ROUND(INDEX(Tarifa!$G$13:$G$512,$J166)*(1+$J$2/100)/$J$3,0)*$J$3,2)))))</f>
        <v/>
      </c>
      <c r="G166" s="42">
        <f>IF(OR(NOT(ISNUMBER(F166)),N(E166)&lt;=1),"",ROUND(F166/E166,3))</f>
        <v/>
      </c>
      <c r="H166" s="43">
        <f>IF($J166="","",IF(INDEX(Tarifa!$H$13:$H$512,$J166)="","",INDEX(Tarifa!$H$13:$H$512,$J166)))</f>
        <v/>
      </c>
      <c r="I166" s="41">
        <f>IF(OR($M$3="No",$M$3="",NOT(ISNUMBER(F166))),"",IF(NOT(ISNUMBER(H166)),"Falta IVA",ROUND(F166*(1+(H166+IF($M$3="Con IVA y recargo",IF(H166=21,5.2,IF(H166=10,1.4,IF(H166=4,0.5,0))),0))/100),2)))</f>
        <v/>
      </c>
      <c r="J166">
        <f>IFERROR(MATCH(156,Tarifa!$O$13:$O$512,0),"")</f>
        <v/>
      </c>
    </row>
    <row r="167" ht="17" customHeight="1">
      <c r="A167" s="38">
        <f>IF($J167="","",IFERROR(IF(INDEX(Tarifa!$E$13:$E$512,$J167)&amp;""=INDEX(Tarifa!$E$13:$E$512,$J166)&amp;"","",INDEX(Tarifa!$E$13:$E$512,$J167)&amp;""),""))</f>
        <v/>
      </c>
      <c r="B167" s="39">
        <f>IF($J167="","",INDEX(Tarifa!$A$13:$A$512,$J167)&amp;"")</f>
        <v/>
      </c>
      <c r="C167" s="39">
        <f>IF($J167="","",INDEX(Tarifa!$B$13:$B$512,$J167)&amp;"")</f>
        <v/>
      </c>
      <c r="D167" s="39">
        <f>IF($J167="","",INDEX(Tarifa!$C$13:$C$512,$J167)&amp;"")</f>
        <v/>
      </c>
      <c r="E167" s="40">
        <f>IF($J167="","",IF(INDEX(Tarifa!$D$13:$D$512,$J167)="","",INDEX(Tarifa!$D$13:$D$512,$J167)))</f>
        <v/>
      </c>
      <c r="F167" s="41">
        <f>IF(OR($J167="",$J$1=""),"",IF(INDEX(Tarifa!$G$13:$G$512,$J167)="","",IF(NOT(ISNUMBER(INDEX(Tarifa!$G$13:$G$512,$J167))),"Revisa",IF($J$1=1,INDEX(Tarifa!$G$13:$G$512,$J167),ROUND(ROUND(INDEX(Tarifa!$G$13:$G$512,$J167)*(1+$J$2/100)/$J$3,0)*$J$3,2)))))</f>
        <v/>
      </c>
      <c r="G167" s="42">
        <f>IF(OR(NOT(ISNUMBER(F167)),N(E167)&lt;=1),"",ROUND(F167/E167,3))</f>
        <v/>
      </c>
      <c r="H167" s="43">
        <f>IF($J167="","",IF(INDEX(Tarifa!$H$13:$H$512,$J167)="","",INDEX(Tarifa!$H$13:$H$512,$J167)))</f>
        <v/>
      </c>
      <c r="I167" s="41">
        <f>IF(OR($M$3="No",$M$3="",NOT(ISNUMBER(F167))),"",IF(NOT(ISNUMBER(H167)),"Falta IVA",ROUND(F167*(1+(H167+IF($M$3="Con IVA y recargo",IF(H167=21,5.2,IF(H167=10,1.4,IF(H167=4,0.5,0))),0))/100),2)))</f>
        <v/>
      </c>
      <c r="J167">
        <f>IFERROR(MATCH(157,Tarifa!$O$13:$O$512,0),"")</f>
        <v/>
      </c>
    </row>
    <row r="168" ht="17" customHeight="1">
      <c r="A168" s="38">
        <f>IF($J168="","",IFERROR(IF(INDEX(Tarifa!$E$13:$E$512,$J168)&amp;""=INDEX(Tarifa!$E$13:$E$512,$J167)&amp;"","",INDEX(Tarifa!$E$13:$E$512,$J168)&amp;""),""))</f>
        <v/>
      </c>
      <c r="B168" s="39">
        <f>IF($J168="","",INDEX(Tarifa!$A$13:$A$512,$J168)&amp;"")</f>
        <v/>
      </c>
      <c r="C168" s="39">
        <f>IF($J168="","",INDEX(Tarifa!$B$13:$B$512,$J168)&amp;"")</f>
        <v/>
      </c>
      <c r="D168" s="39">
        <f>IF($J168="","",INDEX(Tarifa!$C$13:$C$512,$J168)&amp;"")</f>
        <v/>
      </c>
      <c r="E168" s="40">
        <f>IF($J168="","",IF(INDEX(Tarifa!$D$13:$D$512,$J168)="","",INDEX(Tarifa!$D$13:$D$512,$J168)))</f>
        <v/>
      </c>
      <c r="F168" s="41">
        <f>IF(OR($J168="",$J$1=""),"",IF(INDEX(Tarifa!$G$13:$G$512,$J168)="","",IF(NOT(ISNUMBER(INDEX(Tarifa!$G$13:$G$512,$J168))),"Revisa",IF($J$1=1,INDEX(Tarifa!$G$13:$G$512,$J168),ROUND(ROUND(INDEX(Tarifa!$G$13:$G$512,$J168)*(1+$J$2/100)/$J$3,0)*$J$3,2)))))</f>
        <v/>
      </c>
      <c r="G168" s="42">
        <f>IF(OR(NOT(ISNUMBER(F168)),N(E168)&lt;=1),"",ROUND(F168/E168,3))</f>
        <v/>
      </c>
      <c r="H168" s="43">
        <f>IF($J168="","",IF(INDEX(Tarifa!$H$13:$H$512,$J168)="","",INDEX(Tarifa!$H$13:$H$512,$J168)))</f>
        <v/>
      </c>
      <c r="I168" s="41">
        <f>IF(OR($M$3="No",$M$3="",NOT(ISNUMBER(F168))),"",IF(NOT(ISNUMBER(H168)),"Falta IVA",ROUND(F168*(1+(H168+IF($M$3="Con IVA y recargo",IF(H168=21,5.2,IF(H168=10,1.4,IF(H168=4,0.5,0))),0))/100),2)))</f>
        <v/>
      </c>
      <c r="J168">
        <f>IFERROR(MATCH(158,Tarifa!$O$13:$O$512,0),"")</f>
        <v/>
      </c>
    </row>
    <row r="169" ht="17" customHeight="1">
      <c r="A169" s="38">
        <f>IF($J169="","",IFERROR(IF(INDEX(Tarifa!$E$13:$E$512,$J169)&amp;""=INDEX(Tarifa!$E$13:$E$512,$J168)&amp;"","",INDEX(Tarifa!$E$13:$E$512,$J169)&amp;""),""))</f>
        <v/>
      </c>
      <c r="B169" s="39">
        <f>IF($J169="","",INDEX(Tarifa!$A$13:$A$512,$J169)&amp;"")</f>
        <v/>
      </c>
      <c r="C169" s="39">
        <f>IF($J169="","",INDEX(Tarifa!$B$13:$B$512,$J169)&amp;"")</f>
        <v/>
      </c>
      <c r="D169" s="39">
        <f>IF($J169="","",INDEX(Tarifa!$C$13:$C$512,$J169)&amp;"")</f>
        <v/>
      </c>
      <c r="E169" s="40">
        <f>IF($J169="","",IF(INDEX(Tarifa!$D$13:$D$512,$J169)="","",INDEX(Tarifa!$D$13:$D$512,$J169)))</f>
        <v/>
      </c>
      <c r="F169" s="41">
        <f>IF(OR($J169="",$J$1=""),"",IF(INDEX(Tarifa!$G$13:$G$512,$J169)="","",IF(NOT(ISNUMBER(INDEX(Tarifa!$G$13:$G$512,$J169))),"Revisa",IF($J$1=1,INDEX(Tarifa!$G$13:$G$512,$J169),ROUND(ROUND(INDEX(Tarifa!$G$13:$G$512,$J169)*(1+$J$2/100)/$J$3,0)*$J$3,2)))))</f>
        <v/>
      </c>
      <c r="G169" s="42">
        <f>IF(OR(NOT(ISNUMBER(F169)),N(E169)&lt;=1),"",ROUND(F169/E169,3))</f>
        <v/>
      </c>
      <c r="H169" s="43">
        <f>IF($J169="","",IF(INDEX(Tarifa!$H$13:$H$512,$J169)="","",INDEX(Tarifa!$H$13:$H$512,$J169)))</f>
        <v/>
      </c>
      <c r="I169" s="41">
        <f>IF(OR($M$3="No",$M$3="",NOT(ISNUMBER(F169))),"",IF(NOT(ISNUMBER(H169)),"Falta IVA",ROUND(F169*(1+(H169+IF($M$3="Con IVA y recargo",IF(H169=21,5.2,IF(H169=10,1.4,IF(H169=4,0.5,0))),0))/100),2)))</f>
        <v/>
      </c>
      <c r="J169">
        <f>IFERROR(MATCH(159,Tarifa!$O$13:$O$512,0),"")</f>
        <v/>
      </c>
    </row>
    <row r="170" ht="17" customHeight="1">
      <c r="A170" s="38">
        <f>IF($J170="","",IFERROR(IF(INDEX(Tarifa!$E$13:$E$512,$J170)&amp;""=INDEX(Tarifa!$E$13:$E$512,$J169)&amp;"","",INDEX(Tarifa!$E$13:$E$512,$J170)&amp;""),""))</f>
        <v/>
      </c>
      <c r="B170" s="39">
        <f>IF($J170="","",INDEX(Tarifa!$A$13:$A$512,$J170)&amp;"")</f>
        <v/>
      </c>
      <c r="C170" s="39">
        <f>IF($J170="","",INDEX(Tarifa!$B$13:$B$512,$J170)&amp;"")</f>
        <v/>
      </c>
      <c r="D170" s="39">
        <f>IF($J170="","",INDEX(Tarifa!$C$13:$C$512,$J170)&amp;"")</f>
        <v/>
      </c>
      <c r="E170" s="40">
        <f>IF($J170="","",IF(INDEX(Tarifa!$D$13:$D$512,$J170)="","",INDEX(Tarifa!$D$13:$D$512,$J170)))</f>
        <v/>
      </c>
      <c r="F170" s="41">
        <f>IF(OR($J170="",$J$1=""),"",IF(INDEX(Tarifa!$G$13:$G$512,$J170)="","",IF(NOT(ISNUMBER(INDEX(Tarifa!$G$13:$G$512,$J170))),"Revisa",IF($J$1=1,INDEX(Tarifa!$G$13:$G$512,$J170),ROUND(ROUND(INDEX(Tarifa!$G$13:$G$512,$J170)*(1+$J$2/100)/$J$3,0)*$J$3,2)))))</f>
        <v/>
      </c>
      <c r="G170" s="42">
        <f>IF(OR(NOT(ISNUMBER(F170)),N(E170)&lt;=1),"",ROUND(F170/E170,3))</f>
        <v/>
      </c>
      <c r="H170" s="43">
        <f>IF($J170="","",IF(INDEX(Tarifa!$H$13:$H$512,$J170)="","",INDEX(Tarifa!$H$13:$H$512,$J170)))</f>
        <v/>
      </c>
      <c r="I170" s="41">
        <f>IF(OR($M$3="No",$M$3="",NOT(ISNUMBER(F170))),"",IF(NOT(ISNUMBER(H170)),"Falta IVA",ROUND(F170*(1+(H170+IF($M$3="Con IVA y recargo",IF(H170=21,5.2,IF(H170=10,1.4,IF(H170=4,0.5,0))),0))/100),2)))</f>
        <v/>
      </c>
      <c r="J170">
        <f>IFERROR(MATCH(160,Tarifa!$O$13:$O$512,0),"")</f>
        <v/>
      </c>
    </row>
    <row r="171" ht="17" customHeight="1">
      <c r="A171" s="38">
        <f>IF($J171="","",IFERROR(IF(INDEX(Tarifa!$E$13:$E$512,$J171)&amp;""=INDEX(Tarifa!$E$13:$E$512,$J170)&amp;"","",INDEX(Tarifa!$E$13:$E$512,$J171)&amp;""),""))</f>
        <v/>
      </c>
      <c r="B171" s="39">
        <f>IF($J171="","",INDEX(Tarifa!$A$13:$A$512,$J171)&amp;"")</f>
        <v/>
      </c>
      <c r="C171" s="39">
        <f>IF($J171="","",INDEX(Tarifa!$B$13:$B$512,$J171)&amp;"")</f>
        <v/>
      </c>
      <c r="D171" s="39">
        <f>IF($J171="","",INDEX(Tarifa!$C$13:$C$512,$J171)&amp;"")</f>
        <v/>
      </c>
      <c r="E171" s="40">
        <f>IF($J171="","",IF(INDEX(Tarifa!$D$13:$D$512,$J171)="","",INDEX(Tarifa!$D$13:$D$512,$J171)))</f>
        <v/>
      </c>
      <c r="F171" s="41">
        <f>IF(OR($J171="",$J$1=""),"",IF(INDEX(Tarifa!$G$13:$G$512,$J171)="","",IF(NOT(ISNUMBER(INDEX(Tarifa!$G$13:$G$512,$J171))),"Revisa",IF($J$1=1,INDEX(Tarifa!$G$13:$G$512,$J171),ROUND(ROUND(INDEX(Tarifa!$G$13:$G$512,$J171)*(1+$J$2/100)/$J$3,0)*$J$3,2)))))</f>
        <v/>
      </c>
      <c r="G171" s="42">
        <f>IF(OR(NOT(ISNUMBER(F171)),N(E171)&lt;=1),"",ROUND(F171/E171,3))</f>
        <v/>
      </c>
      <c r="H171" s="43">
        <f>IF($J171="","",IF(INDEX(Tarifa!$H$13:$H$512,$J171)="","",INDEX(Tarifa!$H$13:$H$512,$J171)))</f>
        <v/>
      </c>
      <c r="I171" s="41">
        <f>IF(OR($M$3="No",$M$3="",NOT(ISNUMBER(F171))),"",IF(NOT(ISNUMBER(H171)),"Falta IVA",ROUND(F171*(1+(H171+IF($M$3="Con IVA y recargo",IF(H171=21,5.2,IF(H171=10,1.4,IF(H171=4,0.5,0))),0))/100),2)))</f>
        <v/>
      </c>
      <c r="J171">
        <f>IFERROR(MATCH(161,Tarifa!$O$13:$O$512,0),"")</f>
        <v/>
      </c>
    </row>
    <row r="172" ht="17" customHeight="1">
      <c r="A172" s="38">
        <f>IF($J172="","",IFERROR(IF(INDEX(Tarifa!$E$13:$E$512,$J172)&amp;""=INDEX(Tarifa!$E$13:$E$512,$J171)&amp;"","",INDEX(Tarifa!$E$13:$E$512,$J172)&amp;""),""))</f>
        <v/>
      </c>
      <c r="B172" s="39">
        <f>IF($J172="","",INDEX(Tarifa!$A$13:$A$512,$J172)&amp;"")</f>
        <v/>
      </c>
      <c r="C172" s="39">
        <f>IF($J172="","",INDEX(Tarifa!$B$13:$B$512,$J172)&amp;"")</f>
        <v/>
      </c>
      <c r="D172" s="39">
        <f>IF($J172="","",INDEX(Tarifa!$C$13:$C$512,$J172)&amp;"")</f>
        <v/>
      </c>
      <c r="E172" s="40">
        <f>IF($J172="","",IF(INDEX(Tarifa!$D$13:$D$512,$J172)="","",INDEX(Tarifa!$D$13:$D$512,$J172)))</f>
        <v/>
      </c>
      <c r="F172" s="41">
        <f>IF(OR($J172="",$J$1=""),"",IF(INDEX(Tarifa!$G$13:$G$512,$J172)="","",IF(NOT(ISNUMBER(INDEX(Tarifa!$G$13:$G$512,$J172))),"Revisa",IF($J$1=1,INDEX(Tarifa!$G$13:$G$512,$J172),ROUND(ROUND(INDEX(Tarifa!$G$13:$G$512,$J172)*(1+$J$2/100)/$J$3,0)*$J$3,2)))))</f>
        <v/>
      </c>
      <c r="G172" s="42">
        <f>IF(OR(NOT(ISNUMBER(F172)),N(E172)&lt;=1),"",ROUND(F172/E172,3))</f>
        <v/>
      </c>
      <c r="H172" s="43">
        <f>IF($J172="","",IF(INDEX(Tarifa!$H$13:$H$512,$J172)="","",INDEX(Tarifa!$H$13:$H$512,$J172)))</f>
        <v/>
      </c>
      <c r="I172" s="41">
        <f>IF(OR($M$3="No",$M$3="",NOT(ISNUMBER(F172))),"",IF(NOT(ISNUMBER(H172)),"Falta IVA",ROUND(F172*(1+(H172+IF($M$3="Con IVA y recargo",IF(H172=21,5.2,IF(H172=10,1.4,IF(H172=4,0.5,0))),0))/100),2)))</f>
        <v/>
      </c>
      <c r="J172">
        <f>IFERROR(MATCH(162,Tarifa!$O$13:$O$512,0),"")</f>
        <v/>
      </c>
    </row>
    <row r="173" ht="17" customHeight="1">
      <c r="A173" s="38">
        <f>IF($J173="","",IFERROR(IF(INDEX(Tarifa!$E$13:$E$512,$J173)&amp;""=INDEX(Tarifa!$E$13:$E$512,$J172)&amp;"","",INDEX(Tarifa!$E$13:$E$512,$J173)&amp;""),""))</f>
        <v/>
      </c>
      <c r="B173" s="39">
        <f>IF($J173="","",INDEX(Tarifa!$A$13:$A$512,$J173)&amp;"")</f>
        <v/>
      </c>
      <c r="C173" s="39">
        <f>IF($J173="","",INDEX(Tarifa!$B$13:$B$512,$J173)&amp;"")</f>
        <v/>
      </c>
      <c r="D173" s="39">
        <f>IF($J173="","",INDEX(Tarifa!$C$13:$C$512,$J173)&amp;"")</f>
        <v/>
      </c>
      <c r="E173" s="40">
        <f>IF($J173="","",IF(INDEX(Tarifa!$D$13:$D$512,$J173)="","",INDEX(Tarifa!$D$13:$D$512,$J173)))</f>
        <v/>
      </c>
      <c r="F173" s="41">
        <f>IF(OR($J173="",$J$1=""),"",IF(INDEX(Tarifa!$G$13:$G$512,$J173)="","",IF(NOT(ISNUMBER(INDEX(Tarifa!$G$13:$G$512,$J173))),"Revisa",IF($J$1=1,INDEX(Tarifa!$G$13:$G$512,$J173),ROUND(ROUND(INDEX(Tarifa!$G$13:$G$512,$J173)*(1+$J$2/100)/$J$3,0)*$J$3,2)))))</f>
        <v/>
      </c>
      <c r="G173" s="42">
        <f>IF(OR(NOT(ISNUMBER(F173)),N(E173)&lt;=1),"",ROUND(F173/E173,3))</f>
        <v/>
      </c>
      <c r="H173" s="43">
        <f>IF($J173="","",IF(INDEX(Tarifa!$H$13:$H$512,$J173)="","",INDEX(Tarifa!$H$13:$H$512,$J173)))</f>
        <v/>
      </c>
      <c r="I173" s="41">
        <f>IF(OR($M$3="No",$M$3="",NOT(ISNUMBER(F173))),"",IF(NOT(ISNUMBER(H173)),"Falta IVA",ROUND(F173*(1+(H173+IF($M$3="Con IVA y recargo",IF(H173=21,5.2,IF(H173=10,1.4,IF(H173=4,0.5,0))),0))/100),2)))</f>
        <v/>
      </c>
      <c r="J173">
        <f>IFERROR(MATCH(163,Tarifa!$O$13:$O$512,0),"")</f>
        <v/>
      </c>
    </row>
    <row r="174" ht="17" customHeight="1">
      <c r="A174" s="38">
        <f>IF($J174="","",IFERROR(IF(INDEX(Tarifa!$E$13:$E$512,$J174)&amp;""=INDEX(Tarifa!$E$13:$E$512,$J173)&amp;"","",INDEX(Tarifa!$E$13:$E$512,$J174)&amp;""),""))</f>
        <v/>
      </c>
      <c r="B174" s="39">
        <f>IF($J174="","",INDEX(Tarifa!$A$13:$A$512,$J174)&amp;"")</f>
        <v/>
      </c>
      <c r="C174" s="39">
        <f>IF($J174="","",INDEX(Tarifa!$B$13:$B$512,$J174)&amp;"")</f>
        <v/>
      </c>
      <c r="D174" s="39">
        <f>IF($J174="","",INDEX(Tarifa!$C$13:$C$512,$J174)&amp;"")</f>
        <v/>
      </c>
      <c r="E174" s="40">
        <f>IF($J174="","",IF(INDEX(Tarifa!$D$13:$D$512,$J174)="","",INDEX(Tarifa!$D$13:$D$512,$J174)))</f>
        <v/>
      </c>
      <c r="F174" s="41">
        <f>IF(OR($J174="",$J$1=""),"",IF(INDEX(Tarifa!$G$13:$G$512,$J174)="","",IF(NOT(ISNUMBER(INDEX(Tarifa!$G$13:$G$512,$J174))),"Revisa",IF($J$1=1,INDEX(Tarifa!$G$13:$G$512,$J174),ROUND(ROUND(INDEX(Tarifa!$G$13:$G$512,$J174)*(1+$J$2/100)/$J$3,0)*$J$3,2)))))</f>
        <v/>
      </c>
      <c r="G174" s="42">
        <f>IF(OR(NOT(ISNUMBER(F174)),N(E174)&lt;=1),"",ROUND(F174/E174,3))</f>
        <v/>
      </c>
      <c r="H174" s="43">
        <f>IF($J174="","",IF(INDEX(Tarifa!$H$13:$H$512,$J174)="","",INDEX(Tarifa!$H$13:$H$512,$J174)))</f>
        <v/>
      </c>
      <c r="I174" s="41">
        <f>IF(OR($M$3="No",$M$3="",NOT(ISNUMBER(F174))),"",IF(NOT(ISNUMBER(H174)),"Falta IVA",ROUND(F174*(1+(H174+IF($M$3="Con IVA y recargo",IF(H174=21,5.2,IF(H174=10,1.4,IF(H174=4,0.5,0))),0))/100),2)))</f>
        <v/>
      </c>
      <c r="J174">
        <f>IFERROR(MATCH(164,Tarifa!$O$13:$O$512,0),"")</f>
        <v/>
      </c>
    </row>
    <row r="175" ht="17" customHeight="1">
      <c r="A175" s="38">
        <f>IF($J175="","",IFERROR(IF(INDEX(Tarifa!$E$13:$E$512,$J175)&amp;""=INDEX(Tarifa!$E$13:$E$512,$J174)&amp;"","",INDEX(Tarifa!$E$13:$E$512,$J175)&amp;""),""))</f>
        <v/>
      </c>
      <c r="B175" s="39">
        <f>IF($J175="","",INDEX(Tarifa!$A$13:$A$512,$J175)&amp;"")</f>
        <v/>
      </c>
      <c r="C175" s="39">
        <f>IF($J175="","",INDEX(Tarifa!$B$13:$B$512,$J175)&amp;"")</f>
        <v/>
      </c>
      <c r="D175" s="39">
        <f>IF($J175="","",INDEX(Tarifa!$C$13:$C$512,$J175)&amp;"")</f>
        <v/>
      </c>
      <c r="E175" s="40">
        <f>IF($J175="","",IF(INDEX(Tarifa!$D$13:$D$512,$J175)="","",INDEX(Tarifa!$D$13:$D$512,$J175)))</f>
        <v/>
      </c>
      <c r="F175" s="41">
        <f>IF(OR($J175="",$J$1=""),"",IF(INDEX(Tarifa!$G$13:$G$512,$J175)="","",IF(NOT(ISNUMBER(INDEX(Tarifa!$G$13:$G$512,$J175))),"Revisa",IF($J$1=1,INDEX(Tarifa!$G$13:$G$512,$J175),ROUND(ROUND(INDEX(Tarifa!$G$13:$G$512,$J175)*(1+$J$2/100)/$J$3,0)*$J$3,2)))))</f>
        <v/>
      </c>
      <c r="G175" s="42">
        <f>IF(OR(NOT(ISNUMBER(F175)),N(E175)&lt;=1),"",ROUND(F175/E175,3))</f>
        <v/>
      </c>
      <c r="H175" s="43">
        <f>IF($J175="","",IF(INDEX(Tarifa!$H$13:$H$512,$J175)="","",INDEX(Tarifa!$H$13:$H$512,$J175)))</f>
        <v/>
      </c>
      <c r="I175" s="41">
        <f>IF(OR($M$3="No",$M$3="",NOT(ISNUMBER(F175))),"",IF(NOT(ISNUMBER(H175)),"Falta IVA",ROUND(F175*(1+(H175+IF($M$3="Con IVA y recargo",IF(H175=21,5.2,IF(H175=10,1.4,IF(H175=4,0.5,0))),0))/100),2)))</f>
        <v/>
      </c>
      <c r="J175">
        <f>IFERROR(MATCH(165,Tarifa!$O$13:$O$512,0),"")</f>
        <v/>
      </c>
    </row>
    <row r="176" ht="17" customHeight="1">
      <c r="A176" s="38">
        <f>IF($J176="","",IFERROR(IF(INDEX(Tarifa!$E$13:$E$512,$J176)&amp;""=INDEX(Tarifa!$E$13:$E$512,$J175)&amp;"","",INDEX(Tarifa!$E$13:$E$512,$J176)&amp;""),""))</f>
        <v/>
      </c>
      <c r="B176" s="39">
        <f>IF($J176="","",INDEX(Tarifa!$A$13:$A$512,$J176)&amp;"")</f>
        <v/>
      </c>
      <c r="C176" s="39">
        <f>IF($J176="","",INDEX(Tarifa!$B$13:$B$512,$J176)&amp;"")</f>
        <v/>
      </c>
      <c r="D176" s="39">
        <f>IF($J176="","",INDEX(Tarifa!$C$13:$C$512,$J176)&amp;"")</f>
        <v/>
      </c>
      <c r="E176" s="40">
        <f>IF($J176="","",IF(INDEX(Tarifa!$D$13:$D$512,$J176)="","",INDEX(Tarifa!$D$13:$D$512,$J176)))</f>
        <v/>
      </c>
      <c r="F176" s="41">
        <f>IF(OR($J176="",$J$1=""),"",IF(INDEX(Tarifa!$G$13:$G$512,$J176)="","",IF(NOT(ISNUMBER(INDEX(Tarifa!$G$13:$G$512,$J176))),"Revisa",IF($J$1=1,INDEX(Tarifa!$G$13:$G$512,$J176),ROUND(ROUND(INDEX(Tarifa!$G$13:$G$512,$J176)*(1+$J$2/100)/$J$3,0)*$J$3,2)))))</f>
        <v/>
      </c>
      <c r="G176" s="42">
        <f>IF(OR(NOT(ISNUMBER(F176)),N(E176)&lt;=1),"",ROUND(F176/E176,3))</f>
        <v/>
      </c>
      <c r="H176" s="43">
        <f>IF($J176="","",IF(INDEX(Tarifa!$H$13:$H$512,$J176)="","",INDEX(Tarifa!$H$13:$H$512,$J176)))</f>
        <v/>
      </c>
      <c r="I176" s="41">
        <f>IF(OR($M$3="No",$M$3="",NOT(ISNUMBER(F176))),"",IF(NOT(ISNUMBER(H176)),"Falta IVA",ROUND(F176*(1+(H176+IF($M$3="Con IVA y recargo",IF(H176=21,5.2,IF(H176=10,1.4,IF(H176=4,0.5,0))),0))/100),2)))</f>
        <v/>
      </c>
      <c r="J176">
        <f>IFERROR(MATCH(166,Tarifa!$O$13:$O$512,0),"")</f>
        <v/>
      </c>
    </row>
    <row r="177" ht="17" customHeight="1">
      <c r="A177" s="38">
        <f>IF($J177="","",IFERROR(IF(INDEX(Tarifa!$E$13:$E$512,$J177)&amp;""=INDEX(Tarifa!$E$13:$E$512,$J176)&amp;"","",INDEX(Tarifa!$E$13:$E$512,$J177)&amp;""),""))</f>
        <v/>
      </c>
      <c r="B177" s="39">
        <f>IF($J177="","",INDEX(Tarifa!$A$13:$A$512,$J177)&amp;"")</f>
        <v/>
      </c>
      <c r="C177" s="39">
        <f>IF($J177="","",INDEX(Tarifa!$B$13:$B$512,$J177)&amp;"")</f>
        <v/>
      </c>
      <c r="D177" s="39">
        <f>IF($J177="","",INDEX(Tarifa!$C$13:$C$512,$J177)&amp;"")</f>
        <v/>
      </c>
      <c r="E177" s="40">
        <f>IF($J177="","",IF(INDEX(Tarifa!$D$13:$D$512,$J177)="","",INDEX(Tarifa!$D$13:$D$512,$J177)))</f>
        <v/>
      </c>
      <c r="F177" s="41">
        <f>IF(OR($J177="",$J$1=""),"",IF(INDEX(Tarifa!$G$13:$G$512,$J177)="","",IF(NOT(ISNUMBER(INDEX(Tarifa!$G$13:$G$512,$J177))),"Revisa",IF($J$1=1,INDEX(Tarifa!$G$13:$G$512,$J177),ROUND(ROUND(INDEX(Tarifa!$G$13:$G$512,$J177)*(1+$J$2/100)/$J$3,0)*$J$3,2)))))</f>
        <v/>
      </c>
      <c r="G177" s="42">
        <f>IF(OR(NOT(ISNUMBER(F177)),N(E177)&lt;=1),"",ROUND(F177/E177,3))</f>
        <v/>
      </c>
      <c r="H177" s="43">
        <f>IF($J177="","",IF(INDEX(Tarifa!$H$13:$H$512,$J177)="","",INDEX(Tarifa!$H$13:$H$512,$J177)))</f>
        <v/>
      </c>
      <c r="I177" s="41">
        <f>IF(OR($M$3="No",$M$3="",NOT(ISNUMBER(F177))),"",IF(NOT(ISNUMBER(H177)),"Falta IVA",ROUND(F177*(1+(H177+IF($M$3="Con IVA y recargo",IF(H177=21,5.2,IF(H177=10,1.4,IF(H177=4,0.5,0))),0))/100),2)))</f>
        <v/>
      </c>
      <c r="J177">
        <f>IFERROR(MATCH(167,Tarifa!$O$13:$O$512,0),"")</f>
        <v/>
      </c>
    </row>
    <row r="178" ht="17" customHeight="1">
      <c r="A178" s="38">
        <f>IF($J178="","",IFERROR(IF(INDEX(Tarifa!$E$13:$E$512,$J178)&amp;""=INDEX(Tarifa!$E$13:$E$512,$J177)&amp;"","",INDEX(Tarifa!$E$13:$E$512,$J178)&amp;""),""))</f>
        <v/>
      </c>
      <c r="B178" s="39">
        <f>IF($J178="","",INDEX(Tarifa!$A$13:$A$512,$J178)&amp;"")</f>
        <v/>
      </c>
      <c r="C178" s="39">
        <f>IF($J178="","",INDEX(Tarifa!$B$13:$B$512,$J178)&amp;"")</f>
        <v/>
      </c>
      <c r="D178" s="39">
        <f>IF($J178="","",INDEX(Tarifa!$C$13:$C$512,$J178)&amp;"")</f>
        <v/>
      </c>
      <c r="E178" s="40">
        <f>IF($J178="","",IF(INDEX(Tarifa!$D$13:$D$512,$J178)="","",INDEX(Tarifa!$D$13:$D$512,$J178)))</f>
        <v/>
      </c>
      <c r="F178" s="41">
        <f>IF(OR($J178="",$J$1=""),"",IF(INDEX(Tarifa!$G$13:$G$512,$J178)="","",IF(NOT(ISNUMBER(INDEX(Tarifa!$G$13:$G$512,$J178))),"Revisa",IF($J$1=1,INDEX(Tarifa!$G$13:$G$512,$J178),ROUND(ROUND(INDEX(Tarifa!$G$13:$G$512,$J178)*(1+$J$2/100)/$J$3,0)*$J$3,2)))))</f>
        <v/>
      </c>
      <c r="G178" s="42">
        <f>IF(OR(NOT(ISNUMBER(F178)),N(E178)&lt;=1),"",ROUND(F178/E178,3))</f>
        <v/>
      </c>
      <c r="H178" s="43">
        <f>IF($J178="","",IF(INDEX(Tarifa!$H$13:$H$512,$J178)="","",INDEX(Tarifa!$H$13:$H$512,$J178)))</f>
        <v/>
      </c>
      <c r="I178" s="41">
        <f>IF(OR($M$3="No",$M$3="",NOT(ISNUMBER(F178))),"",IF(NOT(ISNUMBER(H178)),"Falta IVA",ROUND(F178*(1+(H178+IF($M$3="Con IVA y recargo",IF(H178=21,5.2,IF(H178=10,1.4,IF(H178=4,0.5,0))),0))/100),2)))</f>
        <v/>
      </c>
      <c r="J178">
        <f>IFERROR(MATCH(168,Tarifa!$O$13:$O$512,0),"")</f>
        <v/>
      </c>
    </row>
    <row r="179" ht="17" customHeight="1">
      <c r="A179" s="38">
        <f>IF($J179="","",IFERROR(IF(INDEX(Tarifa!$E$13:$E$512,$J179)&amp;""=INDEX(Tarifa!$E$13:$E$512,$J178)&amp;"","",INDEX(Tarifa!$E$13:$E$512,$J179)&amp;""),""))</f>
        <v/>
      </c>
      <c r="B179" s="39">
        <f>IF($J179="","",INDEX(Tarifa!$A$13:$A$512,$J179)&amp;"")</f>
        <v/>
      </c>
      <c r="C179" s="39">
        <f>IF($J179="","",INDEX(Tarifa!$B$13:$B$512,$J179)&amp;"")</f>
        <v/>
      </c>
      <c r="D179" s="39">
        <f>IF($J179="","",INDEX(Tarifa!$C$13:$C$512,$J179)&amp;"")</f>
        <v/>
      </c>
      <c r="E179" s="40">
        <f>IF($J179="","",IF(INDEX(Tarifa!$D$13:$D$512,$J179)="","",INDEX(Tarifa!$D$13:$D$512,$J179)))</f>
        <v/>
      </c>
      <c r="F179" s="41">
        <f>IF(OR($J179="",$J$1=""),"",IF(INDEX(Tarifa!$G$13:$G$512,$J179)="","",IF(NOT(ISNUMBER(INDEX(Tarifa!$G$13:$G$512,$J179))),"Revisa",IF($J$1=1,INDEX(Tarifa!$G$13:$G$512,$J179),ROUND(ROUND(INDEX(Tarifa!$G$13:$G$512,$J179)*(1+$J$2/100)/$J$3,0)*$J$3,2)))))</f>
        <v/>
      </c>
      <c r="G179" s="42">
        <f>IF(OR(NOT(ISNUMBER(F179)),N(E179)&lt;=1),"",ROUND(F179/E179,3))</f>
        <v/>
      </c>
      <c r="H179" s="43">
        <f>IF($J179="","",IF(INDEX(Tarifa!$H$13:$H$512,$J179)="","",INDEX(Tarifa!$H$13:$H$512,$J179)))</f>
        <v/>
      </c>
      <c r="I179" s="41">
        <f>IF(OR($M$3="No",$M$3="",NOT(ISNUMBER(F179))),"",IF(NOT(ISNUMBER(H179)),"Falta IVA",ROUND(F179*(1+(H179+IF($M$3="Con IVA y recargo",IF(H179=21,5.2,IF(H179=10,1.4,IF(H179=4,0.5,0))),0))/100),2)))</f>
        <v/>
      </c>
      <c r="J179">
        <f>IFERROR(MATCH(169,Tarifa!$O$13:$O$512,0),"")</f>
        <v/>
      </c>
    </row>
    <row r="180" ht="17" customHeight="1">
      <c r="A180" s="38">
        <f>IF($J180="","",IFERROR(IF(INDEX(Tarifa!$E$13:$E$512,$J180)&amp;""=INDEX(Tarifa!$E$13:$E$512,$J179)&amp;"","",INDEX(Tarifa!$E$13:$E$512,$J180)&amp;""),""))</f>
        <v/>
      </c>
      <c r="B180" s="39">
        <f>IF($J180="","",INDEX(Tarifa!$A$13:$A$512,$J180)&amp;"")</f>
        <v/>
      </c>
      <c r="C180" s="39">
        <f>IF($J180="","",INDEX(Tarifa!$B$13:$B$512,$J180)&amp;"")</f>
        <v/>
      </c>
      <c r="D180" s="39">
        <f>IF($J180="","",INDEX(Tarifa!$C$13:$C$512,$J180)&amp;"")</f>
        <v/>
      </c>
      <c r="E180" s="40">
        <f>IF($J180="","",IF(INDEX(Tarifa!$D$13:$D$512,$J180)="","",INDEX(Tarifa!$D$13:$D$512,$J180)))</f>
        <v/>
      </c>
      <c r="F180" s="41">
        <f>IF(OR($J180="",$J$1=""),"",IF(INDEX(Tarifa!$G$13:$G$512,$J180)="","",IF(NOT(ISNUMBER(INDEX(Tarifa!$G$13:$G$512,$J180))),"Revisa",IF($J$1=1,INDEX(Tarifa!$G$13:$G$512,$J180),ROUND(ROUND(INDEX(Tarifa!$G$13:$G$512,$J180)*(1+$J$2/100)/$J$3,0)*$J$3,2)))))</f>
        <v/>
      </c>
      <c r="G180" s="42">
        <f>IF(OR(NOT(ISNUMBER(F180)),N(E180)&lt;=1),"",ROUND(F180/E180,3))</f>
        <v/>
      </c>
      <c r="H180" s="43">
        <f>IF($J180="","",IF(INDEX(Tarifa!$H$13:$H$512,$J180)="","",INDEX(Tarifa!$H$13:$H$512,$J180)))</f>
        <v/>
      </c>
      <c r="I180" s="41">
        <f>IF(OR($M$3="No",$M$3="",NOT(ISNUMBER(F180))),"",IF(NOT(ISNUMBER(H180)),"Falta IVA",ROUND(F180*(1+(H180+IF($M$3="Con IVA y recargo",IF(H180=21,5.2,IF(H180=10,1.4,IF(H180=4,0.5,0))),0))/100),2)))</f>
        <v/>
      </c>
      <c r="J180">
        <f>IFERROR(MATCH(170,Tarifa!$O$13:$O$512,0),"")</f>
        <v/>
      </c>
    </row>
    <row r="181" ht="17" customHeight="1">
      <c r="A181" s="38">
        <f>IF($J181="","",IFERROR(IF(INDEX(Tarifa!$E$13:$E$512,$J181)&amp;""=INDEX(Tarifa!$E$13:$E$512,$J180)&amp;"","",INDEX(Tarifa!$E$13:$E$512,$J181)&amp;""),""))</f>
        <v/>
      </c>
      <c r="B181" s="39">
        <f>IF($J181="","",INDEX(Tarifa!$A$13:$A$512,$J181)&amp;"")</f>
        <v/>
      </c>
      <c r="C181" s="39">
        <f>IF($J181="","",INDEX(Tarifa!$B$13:$B$512,$J181)&amp;"")</f>
        <v/>
      </c>
      <c r="D181" s="39">
        <f>IF($J181="","",INDEX(Tarifa!$C$13:$C$512,$J181)&amp;"")</f>
        <v/>
      </c>
      <c r="E181" s="40">
        <f>IF($J181="","",IF(INDEX(Tarifa!$D$13:$D$512,$J181)="","",INDEX(Tarifa!$D$13:$D$512,$J181)))</f>
        <v/>
      </c>
      <c r="F181" s="41">
        <f>IF(OR($J181="",$J$1=""),"",IF(INDEX(Tarifa!$G$13:$G$512,$J181)="","",IF(NOT(ISNUMBER(INDEX(Tarifa!$G$13:$G$512,$J181))),"Revisa",IF($J$1=1,INDEX(Tarifa!$G$13:$G$512,$J181),ROUND(ROUND(INDEX(Tarifa!$G$13:$G$512,$J181)*(1+$J$2/100)/$J$3,0)*$J$3,2)))))</f>
        <v/>
      </c>
      <c r="G181" s="42">
        <f>IF(OR(NOT(ISNUMBER(F181)),N(E181)&lt;=1),"",ROUND(F181/E181,3))</f>
        <v/>
      </c>
      <c r="H181" s="43">
        <f>IF($J181="","",IF(INDEX(Tarifa!$H$13:$H$512,$J181)="","",INDEX(Tarifa!$H$13:$H$512,$J181)))</f>
        <v/>
      </c>
      <c r="I181" s="41">
        <f>IF(OR($M$3="No",$M$3="",NOT(ISNUMBER(F181))),"",IF(NOT(ISNUMBER(H181)),"Falta IVA",ROUND(F181*(1+(H181+IF($M$3="Con IVA y recargo",IF(H181=21,5.2,IF(H181=10,1.4,IF(H181=4,0.5,0))),0))/100),2)))</f>
        <v/>
      </c>
      <c r="J181">
        <f>IFERROR(MATCH(171,Tarifa!$O$13:$O$512,0),"")</f>
        <v/>
      </c>
    </row>
    <row r="182" ht="17" customHeight="1">
      <c r="A182" s="38">
        <f>IF($J182="","",IFERROR(IF(INDEX(Tarifa!$E$13:$E$512,$J182)&amp;""=INDEX(Tarifa!$E$13:$E$512,$J181)&amp;"","",INDEX(Tarifa!$E$13:$E$512,$J182)&amp;""),""))</f>
        <v/>
      </c>
      <c r="B182" s="39">
        <f>IF($J182="","",INDEX(Tarifa!$A$13:$A$512,$J182)&amp;"")</f>
        <v/>
      </c>
      <c r="C182" s="39">
        <f>IF($J182="","",INDEX(Tarifa!$B$13:$B$512,$J182)&amp;"")</f>
        <v/>
      </c>
      <c r="D182" s="39">
        <f>IF($J182="","",INDEX(Tarifa!$C$13:$C$512,$J182)&amp;"")</f>
        <v/>
      </c>
      <c r="E182" s="40">
        <f>IF($J182="","",IF(INDEX(Tarifa!$D$13:$D$512,$J182)="","",INDEX(Tarifa!$D$13:$D$512,$J182)))</f>
        <v/>
      </c>
      <c r="F182" s="41">
        <f>IF(OR($J182="",$J$1=""),"",IF(INDEX(Tarifa!$G$13:$G$512,$J182)="","",IF(NOT(ISNUMBER(INDEX(Tarifa!$G$13:$G$512,$J182))),"Revisa",IF($J$1=1,INDEX(Tarifa!$G$13:$G$512,$J182),ROUND(ROUND(INDEX(Tarifa!$G$13:$G$512,$J182)*(1+$J$2/100)/$J$3,0)*$J$3,2)))))</f>
        <v/>
      </c>
      <c r="G182" s="42">
        <f>IF(OR(NOT(ISNUMBER(F182)),N(E182)&lt;=1),"",ROUND(F182/E182,3))</f>
        <v/>
      </c>
      <c r="H182" s="43">
        <f>IF($J182="","",IF(INDEX(Tarifa!$H$13:$H$512,$J182)="","",INDEX(Tarifa!$H$13:$H$512,$J182)))</f>
        <v/>
      </c>
      <c r="I182" s="41">
        <f>IF(OR($M$3="No",$M$3="",NOT(ISNUMBER(F182))),"",IF(NOT(ISNUMBER(H182)),"Falta IVA",ROUND(F182*(1+(H182+IF($M$3="Con IVA y recargo",IF(H182=21,5.2,IF(H182=10,1.4,IF(H182=4,0.5,0))),0))/100),2)))</f>
        <v/>
      </c>
      <c r="J182">
        <f>IFERROR(MATCH(172,Tarifa!$O$13:$O$512,0),"")</f>
        <v/>
      </c>
    </row>
    <row r="183" ht="17" customHeight="1">
      <c r="A183" s="38">
        <f>IF($J183="","",IFERROR(IF(INDEX(Tarifa!$E$13:$E$512,$J183)&amp;""=INDEX(Tarifa!$E$13:$E$512,$J182)&amp;"","",INDEX(Tarifa!$E$13:$E$512,$J183)&amp;""),""))</f>
        <v/>
      </c>
      <c r="B183" s="39">
        <f>IF($J183="","",INDEX(Tarifa!$A$13:$A$512,$J183)&amp;"")</f>
        <v/>
      </c>
      <c r="C183" s="39">
        <f>IF($J183="","",INDEX(Tarifa!$B$13:$B$512,$J183)&amp;"")</f>
        <v/>
      </c>
      <c r="D183" s="39">
        <f>IF($J183="","",INDEX(Tarifa!$C$13:$C$512,$J183)&amp;"")</f>
        <v/>
      </c>
      <c r="E183" s="40">
        <f>IF($J183="","",IF(INDEX(Tarifa!$D$13:$D$512,$J183)="","",INDEX(Tarifa!$D$13:$D$512,$J183)))</f>
        <v/>
      </c>
      <c r="F183" s="41">
        <f>IF(OR($J183="",$J$1=""),"",IF(INDEX(Tarifa!$G$13:$G$512,$J183)="","",IF(NOT(ISNUMBER(INDEX(Tarifa!$G$13:$G$512,$J183))),"Revisa",IF($J$1=1,INDEX(Tarifa!$G$13:$G$512,$J183),ROUND(ROUND(INDEX(Tarifa!$G$13:$G$512,$J183)*(1+$J$2/100)/$J$3,0)*$J$3,2)))))</f>
        <v/>
      </c>
      <c r="G183" s="42">
        <f>IF(OR(NOT(ISNUMBER(F183)),N(E183)&lt;=1),"",ROUND(F183/E183,3))</f>
        <v/>
      </c>
      <c r="H183" s="43">
        <f>IF($J183="","",IF(INDEX(Tarifa!$H$13:$H$512,$J183)="","",INDEX(Tarifa!$H$13:$H$512,$J183)))</f>
        <v/>
      </c>
      <c r="I183" s="41">
        <f>IF(OR($M$3="No",$M$3="",NOT(ISNUMBER(F183))),"",IF(NOT(ISNUMBER(H183)),"Falta IVA",ROUND(F183*(1+(H183+IF($M$3="Con IVA y recargo",IF(H183=21,5.2,IF(H183=10,1.4,IF(H183=4,0.5,0))),0))/100),2)))</f>
        <v/>
      </c>
      <c r="J183">
        <f>IFERROR(MATCH(173,Tarifa!$O$13:$O$512,0),"")</f>
        <v/>
      </c>
    </row>
    <row r="184" ht="17" customHeight="1">
      <c r="A184" s="38">
        <f>IF($J184="","",IFERROR(IF(INDEX(Tarifa!$E$13:$E$512,$J184)&amp;""=INDEX(Tarifa!$E$13:$E$512,$J183)&amp;"","",INDEX(Tarifa!$E$13:$E$512,$J184)&amp;""),""))</f>
        <v/>
      </c>
      <c r="B184" s="39">
        <f>IF($J184="","",INDEX(Tarifa!$A$13:$A$512,$J184)&amp;"")</f>
        <v/>
      </c>
      <c r="C184" s="39">
        <f>IF($J184="","",INDEX(Tarifa!$B$13:$B$512,$J184)&amp;"")</f>
        <v/>
      </c>
      <c r="D184" s="39">
        <f>IF($J184="","",INDEX(Tarifa!$C$13:$C$512,$J184)&amp;"")</f>
        <v/>
      </c>
      <c r="E184" s="40">
        <f>IF($J184="","",IF(INDEX(Tarifa!$D$13:$D$512,$J184)="","",INDEX(Tarifa!$D$13:$D$512,$J184)))</f>
        <v/>
      </c>
      <c r="F184" s="41">
        <f>IF(OR($J184="",$J$1=""),"",IF(INDEX(Tarifa!$G$13:$G$512,$J184)="","",IF(NOT(ISNUMBER(INDEX(Tarifa!$G$13:$G$512,$J184))),"Revisa",IF($J$1=1,INDEX(Tarifa!$G$13:$G$512,$J184),ROUND(ROUND(INDEX(Tarifa!$G$13:$G$512,$J184)*(1+$J$2/100)/$J$3,0)*$J$3,2)))))</f>
        <v/>
      </c>
      <c r="G184" s="42">
        <f>IF(OR(NOT(ISNUMBER(F184)),N(E184)&lt;=1),"",ROUND(F184/E184,3))</f>
        <v/>
      </c>
      <c r="H184" s="43">
        <f>IF($J184="","",IF(INDEX(Tarifa!$H$13:$H$512,$J184)="","",INDEX(Tarifa!$H$13:$H$512,$J184)))</f>
        <v/>
      </c>
      <c r="I184" s="41">
        <f>IF(OR($M$3="No",$M$3="",NOT(ISNUMBER(F184))),"",IF(NOT(ISNUMBER(H184)),"Falta IVA",ROUND(F184*(1+(H184+IF($M$3="Con IVA y recargo",IF(H184=21,5.2,IF(H184=10,1.4,IF(H184=4,0.5,0))),0))/100),2)))</f>
        <v/>
      </c>
      <c r="J184">
        <f>IFERROR(MATCH(174,Tarifa!$O$13:$O$512,0),"")</f>
        <v/>
      </c>
    </row>
    <row r="185" ht="17" customHeight="1">
      <c r="A185" s="38">
        <f>IF($J185="","",IFERROR(IF(INDEX(Tarifa!$E$13:$E$512,$J185)&amp;""=INDEX(Tarifa!$E$13:$E$512,$J184)&amp;"","",INDEX(Tarifa!$E$13:$E$512,$J185)&amp;""),""))</f>
        <v/>
      </c>
      <c r="B185" s="39">
        <f>IF($J185="","",INDEX(Tarifa!$A$13:$A$512,$J185)&amp;"")</f>
        <v/>
      </c>
      <c r="C185" s="39">
        <f>IF($J185="","",INDEX(Tarifa!$B$13:$B$512,$J185)&amp;"")</f>
        <v/>
      </c>
      <c r="D185" s="39">
        <f>IF($J185="","",INDEX(Tarifa!$C$13:$C$512,$J185)&amp;"")</f>
        <v/>
      </c>
      <c r="E185" s="40">
        <f>IF($J185="","",IF(INDEX(Tarifa!$D$13:$D$512,$J185)="","",INDEX(Tarifa!$D$13:$D$512,$J185)))</f>
        <v/>
      </c>
      <c r="F185" s="41">
        <f>IF(OR($J185="",$J$1=""),"",IF(INDEX(Tarifa!$G$13:$G$512,$J185)="","",IF(NOT(ISNUMBER(INDEX(Tarifa!$G$13:$G$512,$J185))),"Revisa",IF($J$1=1,INDEX(Tarifa!$G$13:$G$512,$J185),ROUND(ROUND(INDEX(Tarifa!$G$13:$G$512,$J185)*(1+$J$2/100)/$J$3,0)*$J$3,2)))))</f>
        <v/>
      </c>
      <c r="G185" s="42">
        <f>IF(OR(NOT(ISNUMBER(F185)),N(E185)&lt;=1),"",ROUND(F185/E185,3))</f>
        <v/>
      </c>
      <c r="H185" s="43">
        <f>IF($J185="","",IF(INDEX(Tarifa!$H$13:$H$512,$J185)="","",INDEX(Tarifa!$H$13:$H$512,$J185)))</f>
        <v/>
      </c>
      <c r="I185" s="41">
        <f>IF(OR($M$3="No",$M$3="",NOT(ISNUMBER(F185))),"",IF(NOT(ISNUMBER(H185)),"Falta IVA",ROUND(F185*(1+(H185+IF($M$3="Con IVA y recargo",IF(H185=21,5.2,IF(H185=10,1.4,IF(H185=4,0.5,0))),0))/100),2)))</f>
        <v/>
      </c>
      <c r="J185">
        <f>IFERROR(MATCH(175,Tarifa!$O$13:$O$512,0),"")</f>
        <v/>
      </c>
    </row>
    <row r="186" ht="17" customHeight="1">
      <c r="A186" s="38">
        <f>IF($J186="","",IFERROR(IF(INDEX(Tarifa!$E$13:$E$512,$J186)&amp;""=INDEX(Tarifa!$E$13:$E$512,$J185)&amp;"","",INDEX(Tarifa!$E$13:$E$512,$J186)&amp;""),""))</f>
        <v/>
      </c>
      <c r="B186" s="39">
        <f>IF($J186="","",INDEX(Tarifa!$A$13:$A$512,$J186)&amp;"")</f>
        <v/>
      </c>
      <c r="C186" s="39">
        <f>IF($J186="","",INDEX(Tarifa!$B$13:$B$512,$J186)&amp;"")</f>
        <v/>
      </c>
      <c r="D186" s="39">
        <f>IF($J186="","",INDEX(Tarifa!$C$13:$C$512,$J186)&amp;"")</f>
        <v/>
      </c>
      <c r="E186" s="40">
        <f>IF($J186="","",IF(INDEX(Tarifa!$D$13:$D$512,$J186)="","",INDEX(Tarifa!$D$13:$D$512,$J186)))</f>
        <v/>
      </c>
      <c r="F186" s="41">
        <f>IF(OR($J186="",$J$1=""),"",IF(INDEX(Tarifa!$G$13:$G$512,$J186)="","",IF(NOT(ISNUMBER(INDEX(Tarifa!$G$13:$G$512,$J186))),"Revisa",IF($J$1=1,INDEX(Tarifa!$G$13:$G$512,$J186),ROUND(ROUND(INDEX(Tarifa!$G$13:$G$512,$J186)*(1+$J$2/100)/$J$3,0)*$J$3,2)))))</f>
        <v/>
      </c>
      <c r="G186" s="42">
        <f>IF(OR(NOT(ISNUMBER(F186)),N(E186)&lt;=1),"",ROUND(F186/E186,3))</f>
        <v/>
      </c>
      <c r="H186" s="43">
        <f>IF($J186="","",IF(INDEX(Tarifa!$H$13:$H$512,$J186)="","",INDEX(Tarifa!$H$13:$H$512,$J186)))</f>
        <v/>
      </c>
      <c r="I186" s="41">
        <f>IF(OR($M$3="No",$M$3="",NOT(ISNUMBER(F186))),"",IF(NOT(ISNUMBER(H186)),"Falta IVA",ROUND(F186*(1+(H186+IF($M$3="Con IVA y recargo",IF(H186=21,5.2,IF(H186=10,1.4,IF(H186=4,0.5,0))),0))/100),2)))</f>
        <v/>
      </c>
      <c r="J186">
        <f>IFERROR(MATCH(176,Tarifa!$O$13:$O$512,0),"")</f>
        <v/>
      </c>
    </row>
    <row r="187" ht="17" customHeight="1">
      <c r="A187" s="38">
        <f>IF($J187="","",IFERROR(IF(INDEX(Tarifa!$E$13:$E$512,$J187)&amp;""=INDEX(Tarifa!$E$13:$E$512,$J186)&amp;"","",INDEX(Tarifa!$E$13:$E$512,$J187)&amp;""),""))</f>
        <v/>
      </c>
      <c r="B187" s="39">
        <f>IF($J187="","",INDEX(Tarifa!$A$13:$A$512,$J187)&amp;"")</f>
        <v/>
      </c>
      <c r="C187" s="39">
        <f>IF($J187="","",INDEX(Tarifa!$B$13:$B$512,$J187)&amp;"")</f>
        <v/>
      </c>
      <c r="D187" s="39">
        <f>IF($J187="","",INDEX(Tarifa!$C$13:$C$512,$J187)&amp;"")</f>
        <v/>
      </c>
      <c r="E187" s="40">
        <f>IF($J187="","",IF(INDEX(Tarifa!$D$13:$D$512,$J187)="","",INDEX(Tarifa!$D$13:$D$512,$J187)))</f>
        <v/>
      </c>
      <c r="F187" s="41">
        <f>IF(OR($J187="",$J$1=""),"",IF(INDEX(Tarifa!$G$13:$G$512,$J187)="","",IF(NOT(ISNUMBER(INDEX(Tarifa!$G$13:$G$512,$J187))),"Revisa",IF($J$1=1,INDEX(Tarifa!$G$13:$G$512,$J187),ROUND(ROUND(INDEX(Tarifa!$G$13:$G$512,$J187)*(1+$J$2/100)/$J$3,0)*$J$3,2)))))</f>
        <v/>
      </c>
      <c r="G187" s="42">
        <f>IF(OR(NOT(ISNUMBER(F187)),N(E187)&lt;=1),"",ROUND(F187/E187,3))</f>
        <v/>
      </c>
      <c r="H187" s="43">
        <f>IF($J187="","",IF(INDEX(Tarifa!$H$13:$H$512,$J187)="","",INDEX(Tarifa!$H$13:$H$512,$J187)))</f>
        <v/>
      </c>
      <c r="I187" s="41">
        <f>IF(OR($M$3="No",$M$3="",NOT(ISNUMBER(F187))),"",IF(NOT(ISNUMBER(H187)),"Falta IVA",ROUND(F187*(1+(H187+IF($M$3="Con IVA y recargo",IF(H187=21,5.2,IF(H187=10,1.4,IF(H187=4,0.5,0))),0))/100),2)))</f>
        <v/>
      </c>
      <c r="J187">
        <f>IFERROR(MATCH(177,Tarifa!$O$13:$O$512,0),"")</f>
        <v/>
      </c>
    </row>
    <row r="188" ht="17" customHeight="1">
      <c r="A188" s="38">
        <f>IF($J188="","",IFERROR(IF(INDEX(Tarifa!$E$13:$E$512,$J188)&amp;""=INDEX(Tarifa!$E$13:$E$512,$J187)&amp;"","",INDEX(Tarifa!$E$13:$E$512,$J188)&amp;""),""))</f>
        <v/>
      </c>
      <c r="B188" s="39">
        <f>IF($J188="","",INDEX(Tarifa!$A$13:$A$512,$J188)&amp;"")</f>
        <v/>
      </c>
      <c r="C188" s="39">
        <f>IF($J188="","",INDEX(Tarifa!$B$13:$B$512,$J188)&amp;"")</f>
        <v/>
      </c>
      <c r="D188" s="39">
        <f>IF($J188="","",INDEX(Tarifa!$C$13:$C$512,$J188)&amp;"")</f>
        <v/>
      </c>
      <c r="E188" s="40">
        <f>IF($J188="","",IF(INDEX(Tarifa!$D$13:$D$512,$J188)="","",INDEX(Tarifa!$D$13:$D$512,$J188)))</f>
        <v/>
      </c>
      <c r="F188" s="41">
        <f>IF(OR($J188="",$J$1=""),"",IF(INDEX(Tarifa!$G$13:$G$512,$J188)="","",IF(NOT(ISNUMBER(INDEX(Tarifa!$G$13:$G$512,$J188))),"Revisa",IF($J$1=1,INDEX(Tarifa!$G$13:$G$512,$J188),ROUND(ROUND(INDEX(Tarifa!$G$13:$G$512,$J188)*(1+$J$2/100)/$J$3,0)*$J$3,2)))))</f>
        <v/>
      </c>
      <c r="G188" s="42">
        <f>IF(OR(NOT(ISNUMBER(F188)),N(E188)&lt;=1),"",ROUND(F188/E188,3))</f>
        <v/>
      </c>
      <c r="H188" s="43">
        <f>IF($J188="","",IF(INDEX(Tarifa!$H$13:$H$512,$J188)="","",INDEX(Tarifa!$H$13:$H$512,$J188)))</f>
        <v/>
      </c>
      <c r="I188" s="41">
        <f>IF(OR($M$3="No",$M$3="",NOT(ISNUMBER(F188))),"",IF(NOT(ISNUMBER(H188)),"Falta IVA",ROUND(F188*(1+(H188+IF($M$3="Con IVA y recargo",IF(H188=21,5.2,IF(H188=10,1.4,IF(H188=4,0.5,0))),0))/100),2)))</f>
        <v/>
      </c>
      <c r="J188">
        <f>IFERROR(MATCH(178,Tarifa!$O$13:$O$512,0),"")</f>
        <v/>
      </c>
    </row>
    <row r="189" ht="17" customHeight="1">
      <c r="A189" s="38">
        <f>IF($J189="","",IFERROR(IF(INDEX(Tarifa!$E$13:$E$512,$J189)&amp;""=INDEX(Tarifa!$E$13:$E$512,$J188)&amp;"","",INDEX(Tarifa!$E$13:$E$512,$J189)&amp;""),""))</f>
        <v/>
      </c>
      <c r="B189" s="39">
        <f>IF($J189="","",INDEX(Tarifa!$A$13:$A$512,$J189)&amp;"")</f>
        <v/>
      </c>
      <c r="C189" s="39">
        <f>IF($J189="","",INDEX(Tarifa!$B$13:$B$512,$J189)&amp;"")</f>
        <v/>
      </c>
      <c r="D189" s="39">
        <f>IF($J189="","",INDEX(Tarifa!$C$13:$C$512,$J189)&amp;"")</f>
        <v/>
      </c>
      <c r="E189" s="40">
        <f>IF($J189="","",IF(INDEX(Tarifa!$D$13:$D$512,$J189)="","",INDEX(Tarifa!$D$13:$D$512,$J189)))</f>
        <v/>
      </c>
      <c r="F189" s="41">
        <f>IF(OR($J189="",$J$1=""),"",IF(INDEX(Tarifa!$G$13:$G$512,$J189)="","",IF(NOT(ISNUMBER(INDEX(Tarifa!$G$13:$G$512,$J189))),"Revisa",IF($J$1=1,INDEX(Tarifa!$G$13:$G$512,$J189),ROUND(ROUND(INDEX(Tarifa!$G$13:$G$512,$J189)*(1+$J$2/100)/$J$3,0)*$J$3,2)))))</f>
        <v/>
      </c>
      <c r="G189" s="42">
        <f>IF(OR(NOT(ISNUMBER(F189)),N(E189)&lt;=1),"",ROUND(F189/E189,3))</f>
        <v/>
      </c>
      <c r="H189" s="43">
        <f>IF($J189="","",IF(INDEX(Tarifa!$H$13:$H$512,$J189)="","",INDEX(Tarifa!$H$13:$H$512,$J189)))</f>
        <v/>
      </c>
      <c r="I189" s="41">
        <f>IF(OR($M$3="No",$M$3="",NOT(ISNUMBER(F189))),"",IF(NOT(ISNUMBER(H189)),"Falta IVA",ROUND(F189*(1+(H189+IF($M$3="Con IVA y recargo",IF(H189=21,5.2,IF(H189=10,1.4,IF(H189=4,0.5,0))),0))/100),2)))</f>
        <v/>
      </c>
      <c r="J189">
        <f>IFERROR(MATCH(179,Tarifa!$O$13:$O$512,0),"")</f>
        <v/>
      </c>
    </row>
    <row r="190" ht="17" customHeight="1">
      <c r="A190" s="38">
        <f>IF($J190="","",IFERROR(IF(INDEX(Tarifa!$E$13:$E$512,$J190)&amp;""=INDEX(Tarifa!$E$13:$E$512,$J189)&amp;"","",INDEX(Tarifa!$E$13:$E$512,$J190)&amp;""),""))</f>
        <v/>
      </c>
      <c r="B190" s="39">
        <f>IF($J190="","",INDEX(Tarifa!$A$13:$A$512,$J190)&amp;"")</f>
        <v/>
      </c>
      <c r="C190" s="39">
        <f>IF($J190="","",INDEX(Tarifa!$B$13:$B$512,$J190)&amp;"")</f>
        <v/>
      </c>
      <c r="D190" s="39">
        <f>IF($J190="","",INDEX(Tarifa!$C$13:$C$512,$J190)&amp;"")</f>
        <v/>
      </c>
      <c r="E190" s="40">
        <f>IF($J190="","",IF(INDEX(Tarifa!$D$13:$D$512,$J190)="","",INDEX(Tarifa!$D$13:$D$512,$J190)))</f>
        <v/>
      </c>
      <c r="F190" s="41">
        <f>IF(OR($J190="",$J$1=""),"",IF(INDEX(Tarifa!$G$13:$G$512,$J190)="","",IF(NOT(ISNUMBER(INDEX(Tarifa!$G$13:$G$512,$J190))),"Revisa",IF($J$1=1,INDEX(Tarifa!$G$13:$G$512,$J190),ROUND(ROUND(INDEX(Tarifa!$G$13:$G$512,$J190)*(1+$J$2/100)/$J$3,0)*$J$3,2)))))</f>
        <v/>
      </c>
      <c r="G190" s="42">
        <f>IF(OR(NOT(ISNUMBER(F190)),N(E190)&lt;=1),"",ROUND(F190/E190,3))</f>
        <v/>
      </c>
      <c r="H190" s="43">
        <f>IF($J190="","",IF(INDEX(Tarifa!$H$13:$H$512,$J190)="","",INDEX(Tarifa!$H$13:$H$512,$J190)))</f>
        <v/>
      </c>
      <c r="I190" s="41">
        <f>IF(OR($M$3="No",$M$3="",NOT(ISNUMBER(F190))),"",IF(NOT(ISNUMBER(H190)),"Falta IVA",ROUND(F190*(1+(H190+IF($M$3="Con IVA y recargo",IF(H190=21,5.2,IF(H190=10,1.4,IF(H190=4,0.5,0))),0))/100),2)))</f>
        <v/>
      </c>
      <c r="J190">
        <f>IFERROR(MATCH(180,Tarifa!$O$13:$O$512,0),"")</f>
        <v/>
      </c>
    </row>
    <row r="191" ht="17" customHeight="1">
      <c r="A191" s="38">
        <f>IF($J191="","",IFERROR(IF(INDEX(Tarifa!$E$13:$E$512,$J191)&amp;""=INDEX(Tarifa!$E$13:$E$512,$J190)&amp;"","",INDEX(Tarifa!$E$13:$E$512,$J191)&amp;""),""))</f>
        <v/>
      </c>
      <c r="B191" s="39">
        <f>IF($J191="","",INDEX(Tarifa!$A$13:$A$512,$J191)&amp;"")</f>
        <v/>
      </c>
      <c r="C191" s="39">
        <f>IF($J191="","",INDEX(Tarifa!$B$13:$B$512,$J191)&amp;"")</f>
        <v/>
      </c>
      <c r="D191" s="39">
        <f>IF($J191="","",INDEX(Tarifa!$C$13:$C$512,$J191)&amp;"")</f>
        <v/>
      </c>
      <c r="E191" s="40">
        <f>IF($J191="","",IF(INDEX(Tarifa!$D$13:$D$512,$J191)="","",INDEX(Tarifa!$D$13:$D$512,$J191)))</f>
        <v/>
      </c>
      <c r="F191" s="41">
        <f>IF(OR($J191="",$J$1=""),"",IF(INDEX(Tarifa!$G$13:$G$512,$J191)="","",IF(NOT(ISNUMBER(INDEX(Tarifa!$G$13:$G$512,$J191))),"Revisa",IF($J$1=1,INDEX(Tarifa!$G$13:$G$512,$J191),ROUND(ROUND(INDEX(Tarifa!$G$13:$G$512,$J191)*(1+$J$2/100)/$J$3,0)*$J$3,2)))))</f>
        <v/>
      </c>
      <c r="G191" s="42">
        <f>IF(OR(NOT(ISNUMBER(F191)),N(E191)&lt;=1),"",ROUND(F191/E191,3))</f>
        <v/>
      </c>
      <c r="H191" s="43">
        <f>IF($J191="","",IF(INDEX(Tarifa!$H$13:$H$512,$J191)="","",INDEX(Tarifa!$H$13:$H$512,$J191)))</f>
        <v/>
      </c>
      <c r="I191" s="41">
        <f>IF(OR($M$3="No",$M$3="",NOT(ISNUMBER(F191))),"",IF(NOT(ISNUMBER(H191)),"Falta IVA",ROUND(F191*(1+(H191+IF($M$3="Con IVA y recargo",IF(H191=21,5.2,IF(H191=10,1.4,IF(H191=4,0.5,0))),0))/100),2)))</f>
        <v/>
      </c>
      <c r="J191">
        <f>IFERROR(MATCH(181,Tarifa!$O$13:$O$512,0),"")</f>
        <v/>
      </c>
    </row>
    <row r="192" ht="17" customHeight="1">
      <c r="A192" s="38">
        <f>IF($J192="","",IFERROR(IF(INDEX(Tarifa!$E$13:$E$512,$J192)&amp;""=INDEX(Tarifa!$E$13:$E$512,$J191)&amp;"","",INDEX(Tarifa!$E$13:$E$512,$J192)&amp;""),""))</f>
        <v/>
      </c>
      <c r="B192" s="39">
        <f>IF($J192="","",INDEX(Tarifa!$A$13:$A$512,$J192)&amp;"")</f>
        <v/>
      </c>
      <c r="C192" s="39">
        <f>IF($J192="","",INDEX(Tarifa!$B$13:$B$512,$J192)&amp;"")</f>
        <v/>
      </c>
      <c r="D192" s="39">
        <f>IF($J192="","",INDEX(Tarifa!$C$13:$C$512,$J192)&amp;"")</f>
        <v/>
      </c>
      <c r="E192" s="40">
        <f>IF($J192="","",IF(INDEX(Tarifa!$D$13:$D$512,$J192)="","",INDEX(Tarifa!$D$13:$D$512,$J192)))</f>
        <v/>
      </c>
      <c r="F192" s="41">
        <f>IF(OR($J192="",$J$1=""),"",IF(INDEX(Tarifa!$G$13:$G$512,$J192)="","",IF(NOT(ISNUMBER(INDEX(Tarifa!$G$13:$G$512,$J192))),"Revisa",IF($J$1=1,INDEX(Tarifa!$G$13:$G$512,$J192),ROUND(ROUND(INDEX(Tarifa!$G$13:$G$512,$J192)*(1+$J$2/100)/$J$3,0)*$J$3,2)))))</f>
        <v/>
      </c>
      <c r="G192" s="42">
        <f>IF(OR(NOT(ISNUMBER(F192)),N(E192)&lt;=1),"",ROUND(F192/E192,3))</f>
        <v/>
      </c>
      <c r="H192" s="43">
        <f>IF($J192="","",IF(INDEX(Tarifa!$H$13:$H$512,$J192)="","",INDEX(Tarifa!$H$13:$H$512,$J192)))</f>
        <v/>
      </c>
      <c r="I192" s="41">
        <f>IF(OR($M$3="No",$M$3="",NOT(ISNUMBER(F192))),"",IF(NOT(ISNUMBER(H192)),"Falta IVA",ROUND(F192*(1+(H192+IF($M$3="Con IVA y recargo",IF(H192=21,5.2,IF(H192=10,1.4,IF(H192=4,0.5,0))),0))/100),2)))</f>
        <v/>
      </c>
      <c r="J192">
        <f>IFERROR(MATCH(182,Tarifa!$O$13:$O$512,0),"")</f>
        <v/>
      </c>
    </row>
    <row r="193" ht="17" customHeight="1">
      <c r="A193" s="38">
        <f>IF($J193="","",IFERROR(IF(INDEX(Tarifa!$E$13:$E$512,$J193)&amp;""=INDEX(Tarifa!$E$13:$E$512,$J192)&amp;"","",INDEX(Tarifa!$E$13:$E$512,$J193)&amp;""),""))</f>
        <v/>
      </c>
      <c r="B193" s="39">
        <f>IF($J193="","",INDEX(Tarifa!$A$13:$A$512,$J193)&amp;"")</f>
        <v/>
      </c>
      <c r="C193" s="39">
        <f>IF($J193="","",INDEX(Tarifa!$B$13:$B$512,$J193)&amp;"")</f>
        <v/>
      </c>
      <c r="D193" s="39">
        <f>IF($J193="","",INDEX(Tarifa!$C$13:$C$512,$J193)&amp;"")</f>
        <v/>
      </c>
      <c r="E193" s="40">
        <f>IF($J193="","",IF(INDEX(Tarifa!$D$13:$D$512,$J193)="","",INDEX(Tarifa!$D$13:$D$512,$J193)))</f>
        <v/>
      </c>
      <c r="F193" s="41">
        <f>IF(OR($J193="",$J$1=""),"",IF(INDEX(Tarifa!$G$13:$G$512,$J193)="","",IF(NOT(ISNUMBER(INDEX(Tarifa!$G$13:$G$512,$J193))),"Revisa",IF($J$1=1,INDEX(Tarifa!$G$13:$G$512,$J193),ROUND(ROUND(INDEX(Tarifa!$G$13:$G$512,$J193)*(1+$J$2/100)/$J$3,0)*$J$3,2)))))</f>
        <v/>
      </c>
      <c r="G193" s="42">
        <f>IF(OR(NOT(ISNUMBER(F193)),N(E193)&lt;=1),"",ROUND(F193/E193,3))</f>
        <v/>
      </c>
      <c r="H193" s="43">
        <f>IF($J193="","",IF(INDEX(Tarifa!$H$13:$H$512,$J193)="","",INDEX(Tarifa!$H$13:$H$512,$J193)))</f>
        <v/>
      </c>
      <c r="I193" s="41">
        <f>IF(OR($M$3="No",$M$3="",NOT(ISNUMBER(F193))),"",IF(NOT(ISNUMBER(H193)),"Falta IVA",ROUND(F193*(1+(H193+IF($M$3="Con IVA y recargo",IF(H193=21,5.2,IF(H193=10,1.4,IF(H193=4,0.5,0))),0))/100),2)))</f>
        <v/>
      </c>
      <c r="J193">
        <f>IFERROR(MATCH(183,Tarifa!$O$13:$O$512,0),"")</f>
        <v/>
      </c>
    </row>
    <row r="194" ht="17" customHeight="1">
      <c r="A194" s="38">
        <f>IF($J194="","",IFERROR(IF(INDEX(Tarifa!$E$13:$E$512,$J194)&amp;""=INDEX(Tarifa!$E$13:$E$512,$J193)&amp;"","",INDEX(Tarifa!$E$13:$E$512,$J194)&amp;""),""))</f>
        <v/>
      </c>
      <c r="B194" s="39">
        <f>IF($J194="","",INDEX(Tarifa!$A$13:$A$512,$J194)&amp;"")</f>
        <v/>
      </c>
      <c r="C194" s="39">
        <f>IF($J194="","",INDEX(Tarifa!$B$13:$B$512,$J194)&amp;"")</f>
        <v/>
      </c>
      <c r="D194" s="39">
        <f>IF($J194="","",INDEX(Tarifa!$C$13:$C$512,$J194)&amp;"")</f>
        <v/>
      </c>
      <c r="E194" s="40">
        <f>IF($J194="","",IF(INDEX(Tarifa!$D$13:$D$512,$J194)="","",INDEX(Tarifa!$D$13:$D$512,$J194)))</f>
        <v/>
      </c>
      <c r="F194" s="41">
        <f>IF(OR($J194="",$J$1=""),"",IF(INDEX(Tarifa!$G$13:$G$512,$J194)="","",IF(NOT(ISNUMBER(INDEX(Tarifa!$G$13:$G$512,$J194))),"Revisa",IF($J$1=1,INDEX(Tarifa!$G$13:$G$512,$J194),ROUND(ROUND(INDEX(Tarifa!$G$13:$G$512,$J194)*(1+$J$2/100)/$J$3,0)*$J$3,2)))))</f>
        <v/>
      </c>
      <c r="G194" s="42">
        <f>IF(OR(NOT(ISNUMBER(F194)),N(E194)&lt;=1),"",ROUND(F194/E194,3))</f>
        <v/>
      </c>
      <c r="H194" s="43">
        <f>IF($J194="","",IF(INDEX(Tarifa!$H$13:$H$512,$J194)="","",INDEX(Tarifa!$H$13:$H$512,$J194)))</f>
        <v/>
      </c>
      <c r="I194" s="41">
        <f>IF(OR($M$3="No",$M$3="",NOT(ISNUMBER(F194))),"",IF(NOT(ISNUMBER(H194)),"Falta IVA",ROUND(F194*(1+(H194+IF($M$3="Con IVA y recargo",IF(H194=21,5.2,IF(H194=10,1.4,IF(H194=4,0.5,0))),0))/100),2)))</f>
        <v/>
      </c>
      <c r="J194">
        <f>IFERROR(MATCH(184,Tarifa!$O$13:$O$512,0),"")</f>
        <v/>
      </c>
    </row>
    <row r="195" ht="17" customHeight="1">
      <c r="A195" s="38">
        <f>IF($J195="","",IFERROR(IF(INDEX(Tarifa!$E$13:$E$512,$J195)&amp;""=INDEX(Tarifa!$E$13:$E$512,$J194)&amp;"","",INDEX(Tarifa!$E$13:$E$512,$J195)&amp;""),""))</f>
        <v/>
      </c>
      <c r="B195" s="39">
        <f>IF($J195="","",INDEX(Tarifa!$A$13:$A$512,$J195)&amp;"")</f>
        <v/>
      </c>
      <c r="C195" s="39">
        <f>IF($J195="","",INDEX(Tarifa!$B$13:$B$512,$J195)&amp;"")</f>
        <v/>
      </c>
      <c r="D195" s="39">
        <f>IF($J195="","",INDEX(Tarifa!$C$13:$C$512,$J195)&amp;"")</f>
        <v/>
      </c>
      <c r="E195" s="40">
        <f>IF($J195="","",IF(INDEX(Tarifa!$D$13:$D$512,$J195)="","",INDEX(Tarifa!$D$13:$D$512,$J195)))</f>
        <v/>
      </c>
      <c r="F195" s="41">
        <f>IF(OR($J195="",$J$1=""),"",IF(INDEX(Tarifa!$G$13:$G$512,$J195)="","",IF(NOT(ISNUMBER(INDEX(Tarifa!$G$13:$G$512,$J195))),"Revisa",IF($J$1=1,INDEX(Tarifa!$G$13:$G$512,$J195),ROUND(ROUND(INDEX(Tarifa!$G$13:$G$512,$J195)*(1+$J$2/100)/$J$3,0)*$J$3,2)))))</f>
        <v/>
      </c>
      <c r="G195" s="42">
        <f>IF(OR(NOT(ISNUMBER(F195)),N(E195)&lt;=1),"",ROUND(F195/E195,3))</f>
        <v/>
      </c>
      <c r="H195" s="43">
        <f>IF($J195="","",IF(INDEX(Tarifa!$H$13:$H$512,$J195)="","",INDEX(Tarifa!$H$13:$H$512,$J195)))</f>
        <v/>
      </c>
      <c r="I195" s="41">
        <f>IF(OR($M$3="No",$M$3="",NOT(ISNUMBER(F195))),"",IF(NOT(ISNUMBER(H195)),"Falta IVA",ROUND(F195*(1+(H195+IF($M$3="Con IVA y recargo",IF(H195=21,5.2,IF(H195=10,1.4,IF(H195=4,0.5,0))),0))/100),2)))</f>
        <v/>
      </c>
      <c r="J195">
        <f>IFERROR(MATCH(185,Tarifa!$O$13:$O$512,0),"")</f>
        <v/>
      </c>
    </row>
    <row r="196" ht="17" customHeight="1">
      <c r="A196" s="38">
        <f>IF($J196="","",IFERROR(IF(INDEX(Tarifa!$E$13:$E$512,$J196)&amp;""=INDEX(Tarifa!$E$13:$E$512,$J195)&amp;"","",INDEX(Tarifa!$E$13:$E$512,$J196)&amp;""),""))</f>
        <v/>
      </c>
      <c r="B196" s="39">
        <f>IF($J196="","",INDEX(Tarifa!$A$13:$A$512,$J196)&amp;"")</f>
        <v/>
      </c>
      <c r="C196" s="39">
        <f>IF($J196="","",INDEX(Tarifa!$B$13:$B$512,$J196)&amp;"")</f>
        <v/>
      </c>
      <c r="D196" s="39">
        <f>IF($J196="","",INDEX(Tarifa!$C$13:$C$512,$J196)&amp;"")</f>
        <v/>
      </c>
      <c r="E196" s="40">
        <f>IF($J196="","",IF(INDEX(Tarifa!$D$13:$D$512,$J196)="","",INDEX(Tarifa!$D$13:$D$512,$J196)))</f>
        <v/>
      </c>
      <c r="F196" s="41">
        <f>IF(OR($J196="",$J$1=""),"",IF(INDEX(Tarifa!$G$13:$G$512,$J196)="","",IF(NOT(ISNUMBER(INDEX(Tarifa!$G$13:$G$512,$J196))),"Revisa",IF($J$1=1,INDEX(Tarifa!$G$13:$G$512,$J196),ROUND(ROUND(INDEX(Tarifa!$G$13:$G$512,$J196)*(1+$J$2/100)/$J$3,0)*$J$3,2)))))</f>
        <v/>
      </c>
      <c r="G196" s="42">
        <f>IF(OR(NOT(ISNUMBER(F196)),N(E196)&lt;=1),"",ROUND(F196/E196,3))</f>
        <v/>
      </c>
      <c r="H196" s="43">
        <f>IF($J196="","",IF(INDEX(Tarifa!$H$13:$H$512,$J196)="","",INDEX(Tarifa!$H$13:$H$512,$J196)))</f>
        <v/>
      </c>
      <c r="I196" s="41">
        <f>IF(OR($M$3="No",$M$3="",NOT(ISNUMBER(F196))),"",IF(NOT(ISNUMBER(H196)),"Falta IVA",ROUND(F196*(1+(H196+IF($M$3="Con IVA y recargo",IF(H196=21,5.2,IF(H196=10,1.4,IF(H196=4,0.5,0))),0))/100),2)))</f>
        <v/>
      </c>
      <c r="J196">
        <f>IFERROR(MATCH(186,Tarifa!$O$13:$O$512,0),"")</f>
        <v/>
      </c>
    </row>
    <row r="197" ht="17" customHeight="1">
      <c r="A197" s="38">
        <f>IF($J197="","",IFERROR(IF(INDEX(Tarifa!$E$13:$E$512,$J197)&amp;""=INDEX(Tarifa!$E$13:$E$512,$J196)&amp;"","",INDEX(Tarifa!$E$13:$E$512,$J197)&amp;""),""))</f>
        <v/>
      </c>
      <c r="B197" s="39">
        <f>IF($J197="","",INDEX(Tarifa!$A$13:$A$512,$J197)&amp;"")</f>
        <v/>
      </c>
      <c r="C197" s="39">
        <f>IF($J197="","",INDEX(Tarifa!$B$13:$B$512,$J197)&amp;"")</f>
        <v/>
      </c>
      <c r="D197" s="39">
        <f>IF($J197="","",INDEX(Tarifa!$C$13:$C$512,$J197)&amp;"")</f>
        <v/>
      </c>
      <c r="E197" s="40">
        <f>IF($J197="","",IF(INDEX(Tarifa!$D$13:$D$512,$J197)="","",INDEX(Tarifa!$D$13:$D$512,$J197)))</f>
        <v/>
      </c>
      <c r="F197" s="41">
        <f>IF(OR($J197="",$J$1=""),"",IF(INDEX(Tarifa!$G$13:$G$512,$J197)="","",IF(NOT(ISNUMBER(INDEX(Tarifa!$G$13:$G$512,$J197))),"Revisa",IF($J$1=1,INDEX(Tarifa!$G$13:$G$512,$J197),ROUND(ROUND(INDEX(Tarifa!$G$13:$G$512,$J197)*(1+$J$2/100)/$J$3,0)*$J$3,2)))))</f>
        <v/>
      </c>
      <c r="G197" s="42">
        <f>IF(OR(NOT(ISNUMBER(F197)),N(E197)&lt;=1),"",ROUND(F197/E197,3))</f>
        <v/>
      </c>
      <c r="H197" s="43">
        <f>IF($J197="","",IF(INDEX(Tarifa!$H$13:$H$512,$J197)="","",INDEX(Tarifa!$H$13:$H$512,$J197)))</f>
        <v/>
      </c>
      <c r="I197" s="41">
        <f>IF(OR($M$3="No",$M$3="",NOT(ISNUMBER(F197))),"",IF(NOT(ISNUMBER(H197)),"Falta IVA",ROUND(F197*(1+(H197+IF($M$3="Con IVA y recargo",IF(H197=21,5.2,IF(H197=10,1.4,IF(H197=4,0.5,0))),0))/100),2)))</f>
        <v/>
      </c>
      <c r="J197">
        <f>IFERROR(MATCH(187,Tarifa!$O$13:$O$512,0),"")</f>
        <v/>
      </c>
    </row>
    <row r="198" ht="17" customHeight="1">
      <c r="A198" s="38">
        <f>IF($J198="","",IFERROR(IF(INDEX(Tarifa!$E$13:$E$512,$J198)&amp;""=INDEX(Tarifa!$E$13:$E$512,$J197)&amp;"","",INDEX(Tarifa!$E$13:$E$512,$J198)&amp;""),""))</f>
        <v/>
      </c>
      <c r="B198" s="39">
        <f>IF($J198="","",INDEX(Tarifa!$A$13:$A$512,$J198)&amp;"")</f>
        <v/>
      </c>
      <c r="C198" s="39">
        <f>IF($J198="","",INDEX(Tarifa!$B$13:$B$512,$J198)&amp;"")</f>
        <v/>
      </c>
      <c r="D198" s="39">
        <f>IF($J198="","",INDEX(Tarifa!$C$13:$C$512,$J198)&amp;"")</f>
        <v/>
      </c>
      <c r="E198" s="40">
        <f>IF($J198="","",IF(INDEX(Tarifa!$D$13:$D$512,$J198)="","",INDEX(Tarifa!$D$13:$D$512,$J198)))</f>
        <v/>
      </c>
      <c r="F198" s="41">
        <f>IF(OR($J198="",$J$1=""),"",IF(INDEX(Tarifa!$G$13:$G$512,$J198)="","",IF(NOT(ISNUMBER(INDEX(Tarifa!$G$13:$G$512,$J198))),"Revisa",IF($J$1=1,INDEX(Tarifa!$G$13:$G$512,$J198),ROUND(ROUND(INDEX(Tarifa!$G$13:$G$512,$J198)*(1+$J$2/100)/$J$3,0)*$J$3,2)))))</f>
        <v/>
      </c>
      <c r="G198" s="42">
        <f>IF(OR(NOT(ISNUMBER(F198)),N(E198)&lt;=1),"",ROUND(F198/E198,3))</f>
        <v/>
      </c>
      <c r="H198" s="43">
        <f>IF($J198="","",IF(INDEX(Tarifa!$H$13:$H$512,$J198)="","",INDEX(Tarifa!$H$13:$H$512,$J198)))</f>
        <v/>
      </c>
      <c r="I198" s="41">
        <f>IF(OR($M$3="No",$M$3="",NOT(ISNUMBER(F198))),"",IF(NOT(ISNUMBER(H198)),"Falta IVA",ROUND(F198*(1+(H198+IF($M$3="Con IVA y recargo",IF(H198=21,5.2,IF(H198=10,1.4,IF(H198=4,0.5,0))),0))/100),2)))</f>
        <v/>
      </c>
      <c r="J198">
        <f>IFERROR(MATCH(188,Tarifa!$O$13:$O$512,0),"")</f>
        <v/>
      </c>
    </row>
    <row r="199" ht="17" customHeight="1">
      <c r="A199" s="38">
        <f>IF($J199="","",IFERROR(IF(INDEX(Tarifa!$E$13:$E$512,$J199)&amp;""=INDEX(Tarifa!$E$13:$E$512,$J198)&amp;"","",INDEX(Tarifa!$E$13:$E$512,$J199)&amp;""),""))</f>
        <v/>
      </c>
      <c r="B199" s="39">
        <f>IF($J199="","",INDEX(Tarifa!$A$13:$A$512,$J199)&amp;"")</f>
        <v/>
      </c>
      <c r="C199" s="39">
        <f>IF($J199="","",INDEX(Tarifa!$B$13:$B$512,$J199)&amp;"")</f>
        <v/>
      </c>
      <c r="D199" s="39">
        <f>IF($J199="","",INDEX(Tarifa!$C$13:$C$512,$J199)&amp;"")</f>
        <v/>
      </c>
      <c r="E199" s="40">
        <f>IF($J199="","",IF(INDEX(Tarifa!$D$13:$D$512,$J199)="","",INDEX(Tarifa!$D$13:$D$512,$J199)))</f>
        <v/>
      </c>
      <c r="F199" s="41">
        <f>IF(OR($J199="",$J$1=""),"",IF(INDEX(Tarifa!$G$13:$G$512,$J199)="","",IF(NOT(ISNUMBER(INDEX(Tarifa!$G$13:$G$512,$J199))),"Revisa",IF($J$1=1,INDEX(Tarifa!$G$13:$G$512,$J199),ROUND(ROUND(INDEX(Tarifa!$G$13:$G$512,$J199)*(1+$J$2/100)/$J$3,0)*$J$3,2)))))</f>
        <v/>
      </c>
      <c r="G199" s="42">
        <f>IF(OR(NOT(ISNUMBER(F199)),N(E199)&lt;=1),"",ROUND(F199/E199,3))</f>
        <v/>
      </c>
      <c r="H199" s="43">
        <f>IF($J199="","",IF(INDEX(Tarifa!$H$13:$H$512,$J199)="","",INDEX(Tarifa!$H$13:$H$512,$J199)))</f>
        <v/>
      </c>
      <c r="I199" s="41">
        <f>IF(OR($M$3="No",$M$3="",NOT(ISNUMBER(F199))),"",IF(NOT(ISNUMBER(H199)),"Falta IVA",ROUND(F199*(1+(H199+IF($M$3="Con IVA y recargo",IF(H199=21,5.2,IF(H199=10,1.4,IF(H199=4,0.5,0))),0))/100),2)))</f>
        <v/>
      </c>
      <c r="J199">
        <f>IFERROR(MATCH(189,Tarifa!$O$13:$O$512,0),"")</f>
        <v/>
      </c>
    </row>
    <row r="200" ht="17" customHeight="1">
      <c r="A200" s="38">
        <f>IF($J200="","",IFERROR(IF(INDEX(Tarifa!$E$13:$E$512,$J200)&amp;""=INDEX(Tarifa!$E$13:$E$512,$J199)&amp;"","",INDEX(Tarifa!$E$13:$E$512,$J200)&amp;""),""))</f>
        <v/>
      </c>
      <c r="B200" s="39">
        <f>IF($J200="","",INDEX(Tarifa!$A$13:$A$512,$J200)&amp;"")</f>
        <v/>
      </c>
      <c r="C200" s="39">
        <f>IF($J200="","",INDEX(Tarifa!$B$13:$B$512,$J200)&amp;"")</f>
        <v/>
      </c>
      <c r="D200" s="39">
        <f>IF($J200="","",INDEX(Tarifa!$C$13:$C$512,$J200)&amp;"")</f>
        <v/>
      </c>
      <c r="E200" s="40">
        <f>IF($J200="","",IF(INDEX(Tarifa!$D$13:$D$512,$J200)="","",INDEX(Tarifa!$D$13:$D$512,$J200)))</f>
        <v/>
      </c>
      <c r="F200" s="41">
        <f>IF(OR($J200="",$J$1=""),"",IF(INDEX(Tarifa!$G$13:$G$512,$J200)="","",IF(NOT(ISNUMBER(INDEX(Tarifa!$G$13:$G$512,$J200))),"Revisa",IF($J$1=1,INDEX(Tarifa!$G$13:$G$512,$J200),ROUND(ROUND(INDEX(Tarifa!$G$13:$G$512,$J200)*(1+$J$2/100)/$J$3,0)*$J$3,2)))))</f>
        <v/>
      </c>
      <c r="G200" s="42">
        <f>IF(OR(NOT(ISNUMBER(F200)),N(E200)&lt;=1),"",ROUND(F200/E200,3))</f>
        <v/>
      </c>
      <c r="H200" s="43">
        <f>IF($J200="","",IF(INDEX(Tarifa!$H$13:$H$512,$J200)="","",INDEX(Tarifa!$H$13:$H$512,$J200)))</f>
        <v/>
      </c>
      <c r="I200" s="41">
        <f>IF(OR($M$3="No",$M$3="",NOT(ISNUMBER(F200))),"",IF(NOT(ISNUMBER(H200)),"Falta IVA",ROUND(F200*(1+(H200+IF($M$3="Con IVA y recargo",IF(H200=21,5.2,IF(H200=10,1.4,IF(H200=4,0.5,0))),0))/100),2)))</f>
        <v/>
      </c>
      <c r="J200">
        <f>IFERROR(MATCH(190,Tarifa!$O$13:$O$512,0),"")</f>
        <v/>
      </c>
    </row>
    <row r="201" ht="17" customHeight="1">
      <c r="A201" s="38">
        <f>IF($J201="","",IFERROR(IF(INDEX(Tarifa!$E$13:$E$512,$J201)&amp;""=INDEX(Tarifa!$E$13:$E$512,$J200)&amp;"","",INDEX(Tarifa!$E$13:$E$512,$J201)&amp;""),""))</f>
        <v/>
      </c>
      <c r="B201" s="39">
        <f>IF($J201="","",INDEX(Tarifa!$A$13:$A$512,$J201)&amp;"")</f>
        <v/>
      </c>
      <c r="C201" s="39">
        <f>IF($J201="","",INDEX(Tarifa!$B$13:$B$512,$J201)&amp;"")</f>
        <v/>
      </c>
      <c r="D201" s="39">
        <f>IF($J201="","",INDEX(Tarifa!$C$13:$C$512,$J201)&amp;"")</f>
        <v/>
      </c>
      <c r="E201" s="40">
        <f>IF($J201="","",IF(INDEX(Tarifa!$D$13:$D$512,$J201)="","",INDEX(Tarifa!$D$13:$D$512,$J201)))</f>
        <v/>
      </c>
      <c r="F201" s="41">
        <f>IF(OR($J201="",$J$1=""),"",IF(INDEX(Tarifa!$G$13:$G$512,$J201)="","",IF(NOT(ISNUMBER(INDEX(Tarifa!$G$13:$G$512,$J201))),"Revisa",IF($J$1=1,INDEX(Tarifa!$G$13:$G$512,$J201),ROUND(ROUND(INDEX(Tarifa!$G$13:$G$512,$J201)*(1+$J$2/100)/$J$3,0)*$J$3,2)))))</f>
        <v/>
      </c>
      <c r="G201" s="42">
        <f>IF(OR(NOT(ISNUMBER(F201)),N(E201)&lt;=1),"",ROUND(F201/E201,3))</f>
        <v/>
      </c>
      <c r="H201" s="43">
        <f>IF($J201="","",IF(INDEX(Tarifa!$H$13:$H$512,$J201)="","",INDEX(Tarifa!$H$13:$H$512,$J201)))</f>
        <v/>
      </c>
      <c r="I201" s="41">
        <f>IF(OR($M$3="No",$M$3="",NOT(ISNUMBER(F201))),"",IF(NOT(ISNUMBER(H201)),"Falta IVA",ROUND(F201*(1+(H201+IF($M$3="Con IVA y recargo",IF(H201=21,5.2,IF(H201=10,1.4,IF(H201=4,0.5,0))),0))/100),2)))</f>
        <v/>
      </c>
      <c r="J201">
        <f>IFERROR(MATCH(191,Tarifa!$O$13:$O$512,0),"")</f>
        <v/>
      </c>
    </row>
    <row r="202" ht="17" customHeight="1">
      <c r="A202" s="38">
        <f>IF($J202="","",IFERROR(IF(INDEX(Tarifa!$E$13:$E$512,$J202)&amp;""=INDEX(Tarifa!$E$13:$E$512,$J201)&amp;"","",INDEX(Tarifa!$E$13:$E$512,$J202)&amp;""),""))</f>
        <v/>
      </c>
      <c r="B202" s="39">
        <f>IF($J202="","",INDEX(Tarifa!$A$13:$A$512,$J202)&amp;"")</f>
        <v/>
      </c>
      <c r="C202" s="39">
        <f>IF($J202="","",INDEX(Tarifa!$B$13:$B$512,$J202)&amp;"")</f>
        <v/>
      </c>
      <c r="D202" s="39">
        <f>IF($J202="","",INDEX(Tarifa!$C$13:$C$512,$J202)&amp;"")</f>
        <v/>
      </c>
      <c r="E202" s="40">
        <f>IF($J202="","",IF(INDEX(Tarifa!$D$13:$D$512,$J202)="","",INDEX(Tarifa!$D$13:$D$512,$J202)))</f>
        <v/>
      </c>
      <c r="F202" s="41">
        <f>IF(OR($J202="",$J$1=""),"",IF(INDEX(Tarifa!$G$13:$G$512,$J202)="","",IF(NOT(ISNUMBER(INDEX(Tarifa!$G$13:$G$512,$J202))),"Revisa",IF($J$1=1,INDEX(Tarifa!$G$13:$G$512,$J202),ROUND(ROUND(INDEX(Tarifa!$G$13:$G$512,$J202)*(1+$J$2/100)/$J$3,0)*$J$3,2)))))</f>
        <v/>
      </c>
      <c r="G202" s="42">
        <f>IF(OR(NOT(ISNUMBER(F202)),N(E202)&lt;=1),"",ROUND(F202/E202,3))</f>
        <v/>
      </c>
      <c r="H202" s="43">
        <f>IF($J202="","",IF(INDEX(Tarifa!$H$13:$H$512,$J202)="","",INDEX(Tarifa!$H$13:$H$512,$J202)))</f>
        <v/>
      </c>
      <c r="I202" s="41">
        <f>IF(OR($M$3="No",$M$3="",NOT(ISNUMBER(F202))),"",IF(NOT(ISNUMBER(H202)),"Falta IVA",ROUND(F202*(1+(H202+IF($M$3="Con IVA y recargo",IF(H202=21,5.2,IF(H202=10,1.4,IF(H202=4,0.5,0))),0))/100),2)))</f>
        <v/>
      </c>
      <c r="J202">
        <f>IFERROR(MATCH(192,Tarifa!$O$13:$O$512,0),"")</f>
        <v/>
      </c>
    </row>
    <row r="203" ht="17" customHeight="1">
      <c r="A203" s="38">
        <f>IF($J203="","",IFERROR(IF(INDEX(Tarifa!$E$13:$E$512,$J203)&amp;""=INDEX(Tarifa!$E$13:$E$512,$J202)&amp;"","",INDEX(Tarifa!$E$13:$E$512,$J203)&amp;""),""))</f>
        <v/>
      </c>
      <c r="B203" s="39">
        <f>IF($J203="","",INDEX(Tarifa!$A$13:$A$512,$J203)&amp;"")</f>
        <v/>
      </c>
      <c r="C203" s="39">
        <f>IF($J203="","",INDEX(Tarifa!$B$13:$B$512,$J203)&amp;"")</f>
        <v/>
      </c>
      <c r="D203" s="39">
        <f>IF($J203="","",INDEX(Tarifa!$C$13:$C$512,$J203)&amp;"")</f>
        <v/>
      </c>
      <c r="E203" s="40">
        <f>IF($J203="","",IF(INDEX(Tarifa!$D$13:$D$512,$J203)="","",INDEX(Tarifa!$D$13:$D$512,$J203)))</f>
        <v/>
      </c>
      <c r="F203" s="41">
        <f>IF(OR($J203="",$J$1=""),"",IF(INDEX(Tarifa!$G$13:$G$512,$J203)="","",IF(NOT(ISNUMBER(INDEX(Tarifa!$G$13:$G$512,$J203))),"Revisa",IF($J$1=1,INDEX(Tarifa!$G$13:$G$512,$J203),ROUND(ROUND(INDEX(Tarifa!$G$13:$G$512,$J203)*(1+$J$2/100)/$J$3,0)*$J$3,2)))))</f>
        <v/>
      </c>
      <c r="G203" s="42">
        <f>IF(OR(NOT(ISNUMBER(F203)),N(E203)&lt;=1),"",ROUND(F203/E203,3))</f>
        <v/>
      </c>
      <c r="H203" s="43">
        <f>IF($J203="","",IF(INDEX(Tarifa!$H$13:$H$512,$J203)="","",INDEX(Tarifa!$H$13:$H$512,$J203)))</f>
        <v/>
      </c>
      <c r="I203" s="41">
        <f>IF(OR($M$3="No",$M$3="",NOT(ISNUMBER(F203))),"",IF(NOT(ISNUMBER(H203)),"Falta IVA",ROUND(F203*(1+(H203+IF($M$3="Con IVA y recargo",IF(H203=21,5.2,IF(H203=10,1.4,IF(H203=4,0.5,0))),0))/100),2)))</f>
        <v/>
      </c>
      <c r="J203">
        <f>IFERROR(MATCH(193,Tarifa!$O$13:$O$512,0),"")</f>
        <v/>
      </c>
    </row>
    <row r="204" ht="17" customHeight="1">
      <c r="A204" s="38">
        <f>IF($J204="","",IFERROR(IF(INDEX(Tarifa!$E$13:$E$512,$J204)&amp;""=INDEX(Tarifa!$E$13:$E$512,$J203)&amp;"","",INDEX(Tarifa!$E$13:$E$512,$J204)&amp;""),""))</f>
        <v/>
      </c>
      <c r="B204" s="39">
        <f>IF($J204="","",INDEX(Tarifa!$A$13:$A$512,$J204)&amp;"")</f>
        <v/>
      </c>
      <c r="C204" s="39">
        <f>IF($J204="","",INDEX(Tarifa!$B$13:$B$512,$J204)&amp;"")</f>
        <v/>
      </c>
      <c r="D204" s="39">
        <f>IF($J204="","",INDEX(Tarifa!$C$13:$C$512,$J204)&amp;"")</f>
        <v/>
      </c>
      <c r="E204" s="40">
        <f>IF($J204="","",IF(INDEX(Tarifa!$D$13:$D$512,$J204)="","",INDEX(Tarifa!$D$13:$D$512,$J204)))</f>
        <v/>
      </c>
      <c r="F204" s="41">
        <f>IF(OR($J204="",$J$1=""),"",IF(INDEX(Tarifa!$G$13:$G$512,$J204)="","",IF(NOT(ISNUMBER(INDEX(Tarifa!$G$13:$G$512,$J204))),"Revisa",IF($J$1=1,INDEX(Tarifa!$G$13:$G$512,$J204),ROUND(ROUND(INDEX(Tarifa!$G$13:$G$512,$J204)*(1+$J$2/100)/$J$3,0)*$J$3,2)))))</f>
        <v/>
      </c>
      <c r="G204" s="42">
        <f>IF(OR(NOT(ISNUMBER(F204)),N(E204)&lt;=1),"",ROUND(F204/E204,3))</f>
        <v/>
      </c>
      <c r="H204" s="43">
        <f>IF($J204="","",IF(INDEX(Tarifa!$H$13:$H$512,$J204)="","",INDEX(Tarifa!$H$13:$H$512,$J204)))</f>
        <v/>
      </c>
      <c r="I204" s="41">
        <f>IF(OR($M$3="No",$M$3="",NOT(ISNUMBER(F204))),"",IF(NOT(ISNUMBER(H204)),"Falta IVA",ROUND(F204*(1+(H204+IF($M$3="Con IVA y recargo",IF(H204=21,5.2,IF(H204=10,1.4,IF(H204=4,0.5,0))),0))/100),2)))</f>
        <v/>
      </c>
      <c r="J204">
        <f>IFERROR(MATCH(194,Tarifa!$O$13:$O$512,0),"")</f>
        <v/>
      </c>
    </row>
    <row r="205" ht="17" customHeight="1">
      <c r="A205" s="38">
        <f>IF($J205="","",IFERROR(IF(INDEX(Tarifa!$E$13:$E$512,$J205)&amp;""=INDEX(Tarifa!$E$13:$E$512,$J204)&amp;"","",INDEX(Tarifa!$E$13:$E$512,$J205)&amp;""),""))</f>
        <v/>
      </c>
      <c r="B205" s="39">
        <f>IF($J205="","",INDEX(Tarifa!$A$13:$A$512,$J205)&amp;"")</f>
        <v/>
      </c>
      <c r="C205" s="39">
        <f>IF($J205="","",INDEX(Tarifa!$B$13:$B$512,$J205)&amp;"")</f>
        <v/>
      </c>
      <c r="D205" s="39">
        <f>IF($J205="","",INDEX(Tarifa!$C$13:$C$512,$J205)&amp;"")</f>
        <v/>
      </c>
      <c r="E205" s="40">
        <f>IF($J205="","",IF(INDEX(Tarifa!$D$13:$D$512,$J205)="","",INDEX(Tarifa!$D$13:$D$512,$J205)))</f>
        <v/>
      </c>
      <c r="F205" s="41">
        <f>IF(OR($J205="",$J$1=""),"",IF(INDEX(Tarifa!$G$13:$G$512,$J205)="","",IF(NOT(ISNUMBER(INDEX(Tarifa!$G$13:$G$512,$J205))),"Revisa",IF($J$1=1,INDEX(Tarifa!$G$13:$G$512,$J205),ROUND(ROUND(INDEX(Tarifa!$G$13:$G$512,$J205)*(1+$J$2/100)/$J$3,0)*$J$3,2)))))</f>
        <v/>
      </c>
      <c r="G205" s="42">
        <f>IF(OR(NOT(ISNUMBER(F205)),N(E205)&lt;=1),"",ROUND(F205/E205,3))</f>
        <v/>
      </c>
      <c r="H205" s="43">
        <f>IF($J205="","",IF(INDEX(Tarifa!$H$13:$H$512,$J205)="","",INDEX(Tarifa!$H$13:$H$512,$J205)))</f>
        <v/>
      </c>
      <c r="I205" s="41">
        <f>IF(OR($M$3="No",$M$3="",NOT(ISNUMBER(F205))),"",IF(NOT(ISNUMBER(H205)),"Falta IVA",ROUND(F205*(1+(H205+IF($M$3="Con IVA y recargo",IF(H205=21,5.2,IF(H205=10,1.4,IF(H205=4,0.5,0))),0))/100),2)))</f>
        <v/>
      </c>
      <c r="J205">
        <f>IFERROR(MATCH(195,Tarifa!$O$13:$O$512,0),"")</f>
        <v/>
      </c>
    </row>
    <row r="206" ht="17" customHeight="1">
      <c r="A206" s="38">
        <f>IF($J206="","",IFERROR(IF(INDEX(Tarifa!$E$13:$E$512,$J206)&amp;""=INDEX(Tarifa!$E$13:$E$512,$J205)&amp;"","",INDEX(Tarifa!$E$13:$E$512,$J206)&amp;""),""))</f>
        <v/>
      </c>
      <c r="B206" s="39">
        <f>IF($J206="","",INDEX(Tarifa!$A$13:$A$512,$J206)&amp;"")</f>
        <v/>
      </c>
      <c r="C206" s="39">
        <f>IF($J206="","",INDEX(Tarifa!$B$13:$B$512,$J206)&amp;"")</f>
        <v/>
      </c>
      <c r="D206" s="39">
        <f>IF($J206="","",INDEX(Tarifa!$C$13:$C$512,$J206)&amp;"")</f>
        <v/>
      </c>
      <c r="E206" s="40">
        <f>IF($J206="","",IF(INDEX(Tarifa!$D$13:$D$512,$J206)="","",INDEX(Tarifa!$D$13:$D$512,$J206)))</f>
        <v/>
      </c>
      <c r="F206" s="41">
        <f>IF(OR($J206="",$J$1=""),"",IF(INDEX(Tarifa!$G$13:$G$512,$J206)="","",IF(NOT(ISNUMBER(INDEX(Tarifa!$G$13:$G$512,$J206))),"Revisa",IF($J$1=1,INDEX(Tarifa!$G$13:$G$512,$J206),ROUND(ROUND(INDEX(Tarifa!$G$13:$G$512,$J206)*(1+$J$2/100)/$J$3,0)*$J$3,2)))))</f>
        <v/>
      </c>
      <c r="G206" s="42">
        <f>IF(OR(NOT(ISNUMBER(F206)),N(E206)&lt;=1),"",ROUND(F206/E206,3))</f>
        <v/>
      </c>
      <c r="H206" s="43">
        <f>IF($J206="","",IF(INDEX(Tarifa!$H$13:$H$512,$J206)="","",INDEX(Tarifa!$H$13:$H$512,$J206)))</f>
        <v/>
      </c>
      <c r="I206" s="41">
        <f>IF(OR($M$3="No",$M$3="",NOT(ISNUMBER(F206))),"",IF(NOT(ISNUMBER(H206)),"Falta IVA",ROUND(F206*(1+(H206+IF($M$3="Con IVA y recargo",IF(H206=21,5.2,IF(H206=10,1.4,IF(H206=4,0.5,0))),0))/100),2)))</f>
        <v/>
      </c>
      <c r="J206">
        <f>IFERROR(MATCH(196,Tarifa!$O$13:$O$512,0),"")</f>
        <v/>
      </c>
    </row>
    <row r="207" ht="17" customHeight="1">
      <c r="A207" s="38">
        <f>IF($J207="","",IFERROR(IF(INDEX(Tarifa!$E$13:$E$512,$J207)&amp;""=INDEX(Tarifa!$E$13:$E$512,$J206)&amp;"","",INDEX(Tarifa!$E$13:$E$512,$J207)&amp;""),""))</f>
        <v/>
      </c>
      <c r="B207" s="39">
        <f>IF($J207="","",INDEX(Tarifa!$A$13:$A$512,$J207)&amp;"")</f>
        <v/>
      </c>
      <c r="C207" s="39">
        <f>IF($J207="","",INDEX(Tarifa!$B$13:$B$512,$J207)&amp;"")</f>
        <v/>
      </c>
      <c r="D207" s="39">
        <f>IF($J207="","",INDEX(Tarifa!$C$13:$C$512,$J207)&amp;"")</f>
        <v/>
      </c>
      <c r="E207" s="40">
        <f>IF($J207="","",IF(INDEX(Tarifa!$D$13:$D$512,$J207)="","",INDEX(Tarifa!$D$13:$D$512,$J207)))</f>
        <v/>
      </c>
      <c r="F207" s="41">
        <f>IF(OR($J207="",$J$1=""),"",IF(INDEX(Tarifa!$G$13:$G$512,$J207)="","",IF(NOT(ISNUMBER(INDEX(Tarifa!$G$13:$G$512,$J207))),"Revisa",IF($J$1=1,INDEX(Tarifa!$G$13:$G$512,$J207),ROUND(ROUND(INDEX(Tarifa!$G$13:$G$512,$J207)*(1+$J$2/100)/$J$3,0)*$J$3,2)))))</f>
        <v/>
      </c>
      <c r="G207" s="42">
        <f>IF(OR(NOT(ISNUMBER(F207)),N(E207)&lt;=1),"",ROUND(F207/E207,3))</f>
        <v/>
      </c>
      <c r="H207" s="43">
        <f>IF($J207="","",IF(INDEX(Tarifa!$H$13:$H$512,$J207)="","",INDEX(Tarifa!$H$13:$H$512,$J207)))</f>
        <v/>
      </c>
      <c r="I207" s="41">
        <f>IF(OR($M$3="No",$M$3="",NOT(ISNUMBER(F207))),"",IF(NOT(ISNUMBER(H207)),"Falta IVA",ROUND(F207*(1+(H207+IF($M$3="Con IVA y recargo",IF(H207=21,5.2,IF(H207=10,1.4,IF(H207=4,0.5,0))),0))/100),2)))</f>
        <v/>
      </c>
      <c r="J207">
        <f>IFERROR(MATCH(197,Tarifa!$O$13:$O$512,0),"")</f>
        <v/>
      </c>
    </row>
    <row r="208" ht="17" customHeight="1">
      <c r="A208" s="38">
        <f>IF($J208="","",IFERROR(IF(INDEX(Tarifa!$E$13:$E$512,$J208)&amp;""=INDEX(Tarifa!$E$13:$E$512,$J207)&amp;"","",INDEX(Tarifa!$E$13:$E$512,$J208)&amp;""),""))</f>
        <v/>
      </c>
      <c r="B208" s="39">
        <f>IF($J208="","",INDEX(Tarifa!$A$13:$A$512,$J208)&amp;"")</f>
        <v/>
      </c>
      <c r="C208" s="39">
        <f>IF($J208="","",INDEX(Tarifa!$B$13:$B$512,$J208)&amp;"")</f>
        <v/>
      </c>
      <c r="D208" s="39">
        <f>IF($J208="","",INDEX(Tarifa!$C$13:$C$512,$J208)&amp;"")</f>
        <v/>
      </c>
      <c r="E208" s="40">
        <f>IF($J208="","",IF(INDEX(Tarifa!$D$13:$D$512,$J208)="","",INDEX(Tarifa!$D$13:$D$512,$J208)))</f>
        <v/>
      </c>
      <c r="F208" s="41">
        <f>IF(OR($J208="",$J$1=""),"",IF(INDEX(Tarifa!$G$13:$G$512,$J208)="","",IF(NOT(ISNUMBER(INDEX(Tarifa!$G$13:$G$512,$J208))),"Revisa",IF($J$1=1,INDEX(Tarifa!$G$13:$G$512,$J208),ROUND(ROUND(INDEX(Tarifa!$G$13:$G$512,$J208)*(1+$J$2/100)/$J$3,0)*$J$3,2)))))</f>
        <v/>
      </c>
      <c r="G208" s="42">
        <f>IF(OR(NOT(ISNUMBER(F208)),N(E208)&lt;=1),"",ROUND(F208/E208,3))</f>
        <v/>
      </c>
      <c r="H208" s="43">
        <f>IF($J208="","",IF(INDEX(Tarifa!$H$13:$H$512,$J208)="","",INDEX(Tarifa!$H$13:$H$512,$J208)))</f>
        <v/>
      </c>
      <c r="I208" s="41">
        <f>IF(OR($M$3="No",$M$3="",NOT(ISNUMBER(F208))),"",IF(NOT(ISNUMBER(H208)),"Falta IVA",ROUND(F208*(1+(H208+IF($M$3="Con IVA y recargo",IF(H208=21,5.2,IF(H208=10,1.4,IF(H208=4,0.5,0))),0))/100),2)))</f>
        <v/>
      </c>
      <c r="J208">
        <f>IFERROR(MATCH(198,Tarifa!$O$13:$O$512,0),"")</f>
        <v/>
      </c>
    </row>
    <row r="209" ht="17" customHeight="1">
      <c r="A209" s="38">
        <f>IF($J209="","",IFERROR(IF(INDEX(Tarifa!$E$13:$E$512,$J209)&amp;""=INDEX(Tarifa!$E$13:$E$512,$J208)&amp;"","",INDEX(Tarifa!$E$13:$E$512,$J209)&amp;""),""))</f>
        <v/>
      </c>
      <c r="B209" s="39">
        <f>IF($J209="","",INDEX(Tarifa!$A$13:$A$512,$J209)&amp;"")</f>
        <v/>
      </c>
      <c r="C209" s="39">
        <f>IF($J209="","",INDEX(Tarifa!$B$13:$B$512,$J209)&amp;"")</f>
        <v/>
      </c>
      <c r="D209" s="39">
        <f>IF($J209="","",INDEX(Tarifa!$C$13:$C$512,$J209)&amp;"")</f>
        <v/>
      </c>
      <c r="E209" s="40">
        <f>IF($J209="","",IF(INDEX(Tarifa!$D$13:$D$512,$J209)="","",INDEX(Tarifa!$D$13:$D$512,$J209)))</f>
        <v/>
      </c>
      <c r="F209" s="41">
        <f>IF(OR($J209="",$J$1=""),"",IF(INDEX(Tarifa!$G$13:$G$512,$J209)="","",IF(NOT(ISNUMBER(INDEX(Tarifa!$G$13:$G$512,$J209))),"Revisa",IF($J$1=1,INDEX(Tarifa!$G$13:$G$512,$J209),ROUND(ROUND(INDEX(Tarifa!$G$13:$G$512,$J209)*(1+$J$2/100)/$J$3,0)*$J$3,2)))))</f>
        <v/>
      </c>
      <c r="G209" s="42">
        <f>IF(OR(NOT(ISNUMBER(F209)),N(E209)&lt;=1),"",ROUND(F209/E209,3))</f>
        <v/>
      </c>
      <c r="H209" s="43">
        <f>IF($J209="","",IF(INDEX(Tarifa!$H$13:$H$512,$J209)="","",INDEX(Tarifa!$H$13:$H$512,$J209)))</f>
        <v/>
      </c>
      <c r="I209" s="41">
        <f>IF(OR($M$3="No",$M$3="",NOT(ISNUMBER(F209))),"",IF(NOT(ISNUMBER(H209)),"Falta IVA",ROUND(F209*(1+(H209+IF($M$3="Con IVA y recargo",IF(H209=21,5.2,IF(H209=10,1.4,IF(H209=4,0.5,0))),0))/100),2)))</f>
        <v/>
      </c>
      <c r="J209">
        <f>IFERROR(MATCH(199,Tarifa!$O$13:$O$512,0),"")</f>
        <v/>
      </c>
    </row>
    <row r="210" ht="17" customHeight="1">
      <c r="A210" s="38">
        <f>IF($J210="","",IFERROR(IF(INDEX(Tarifa!$E$13:$E$512,$J210)&amp;""=INDEX(Tarifa!$E$13:$E$512,$J209)&amp;"","",INDEX(Tarifa!$E$13:$E$512,$J210)&amp;""),""))</f>
        <v/>
      </c>
      <c r="B210" s="39">
        <f>IF($J210="","",INDEX(Tarifa!$A$13:$A$512,$J210)&amp;"")</f>
        <v/>
      </c>
      <c r="C210" s="39">
        <f>IF($J210="","",INDEX(Tarifa!$B$13:$B$512,$J210)&amp;"")</f>
        <v/>
      </c>
      <c r="D210" s="39">
        <f>IF($J210="","",INDEX(Tarifa!$C$13:$C$512,$J210)&amp;"")</f>
        <v/>
      </c>
      <c r="E210" s="40">
        <f>IF($J210="","",IF(INDEX(Tarifa!$D$13:$D$512,$J210)="","",INDEX(Tarifa!$D$13:$D$512,$J210)))</f>
        <v/>
      </c>
      <c r="F210" s="41">
        <f>IF(OR($J210="",$J$1=""),"",IF(INDEX(Tarifa!$G$13:$G$512,$J210)="","",IF(NOT(ISNUMBER(INDEX(Tarifa!$G$13:$G$512,$J210))),"Revisa",IF($J$1=1,INDEX(Tarifa!$G$13:$G$512,$J210),ROUND(ROUND(INDEX(Tarifa!$G$13:$G$512,$J210)*(1+$J$2/100)/$J$3,0)*$J$3,2)))))</f>
        <v/>
      </c>
      <c r="G210" s="42">
        <f>IF(OR(NOT(ISNUMBER(F210)),N(E210)&lt;=1),"",ROUND(F210/E210,3))</f>
        <v/>
      </c>
      <c r="H210" s="43">
        <f>IF($J210="","",IF(INDEX(Tarifa!$H$13:$H$512,$J210)="","",INDEX(Tarifa!$H$13:$H$512,$J210)))</f>
        <v/>
      </c>
      <c r="I210" s="41">
        <f>IF(OR($M$3="No",$M$3="",NOT(ISNUMBER(F210))),"",IF(NOT(ISNUMBER(H210)),"Falta IVA",ROUND(F210*(1+(H210+IF($M$3="Con IVA y recargo",IF(H210=21,5.2,IF(H210=10,1.4,IF(H210=4,0.5,0))),0))/100),2)))</f>
        <v/>
      </c>
      <c r="J210">
        <f>IFERROR(MATCH(200,Tarifa!$O$13:$O$512,0),"")</f>
        <v/>
      </c>
    </row>
    <row r="211" ht="17" customHeight="1">
      <c r="A211" s="38">
        <f>IF($J211="","",IFERROR(IF(INDEX(Tarifa!$E$13:$E$512,$J211)&amp;""=INDEX(Tarifa!$E$13:$E$512,$J210)&amp;"","",INDEX(Tarifa!$E$13:$E$512,$J211)&amp;""),""))</f>
        <v/>
      </c>
      <c r="B211" s="39">
        <f>IF($J211="","",INDEX(Tarifa!$A$13:$A$512,$J211)&amp;"")</f>
        <v/>
      </c>
      <c r="C211" s="39">
        <f>IF($J211="","",INDEX(Tarifa!$B$13:$B$512,$J211)&amp;"")</f>
        <v/>
      </c>
      <c r="D211" s="39">
        <f>IF($J211="","",INDEX(Tarifa!$C$13:$C$512,$J211)&amp;"")</f>
        <v/>
      </c>
      <c r="E211" s="40">
        <f>IF($J211="","",IF(INDEX(Tarifa!$D$13:$D$512,$J211)="","",INDEX(Tarifa!$D$13:$D$512,$J211)))</f>
        <v/>
      </c>
      <c r="F211" s="41">
        <f>IF(OR($J211="",$J$1=""),"",IF(INDEX(Tarifa!$G$13:$G$512,$J211)="","",IF(NOT(ISNUMBER(INDEX(Tarifa!$G$13:$G$512,$J211))),"Revisa",IF($J$1=1,INDEX(Tarifa!$G$13:$G$512,$J211),ROUND(ROUND(INDEX(Tarifa!$G$13:$G$512,$J211)*(1+$J$2/100)/$J$3,0)*$J$3,2)))))</f>
        <v/>
      </c>
      <c r="G211" s="42">
        <f>IF(OR(NOT(ISNUMBER(F211)),N(E211)&lt;=1),"",ROUND(F211/E211,3))</f>
        <v/>
      </c>
      <c r="H211" s="43">
        <f>IF($J211="","",IF(INDEX(Tarifa!$H$13:$H$512,$J211)="","",INDEX(Tarifa!$H$13:$H$512,$J211)))</f>
        <v/>
      </c>
      <c r="I211" s="41">
        <f>IF(OR($M$3="No",$M$3="",NOT(ISNUMBER(F211))),"",IF(NOT(ISNUMBER(H211)),"Falta IVA",ROUND(F211*(1+(H211+IF($M$3="Con IVA y recargo",IF(H211=21,5.2,IF(H211=10,1.4,IF(H211=4,0.5,0))),0))/100),2)))</f>
        <v/>
      </c>
      <c r="J211">
        <f>IFERROR(MATCH(201,Tarifa!$O$13:$O$512,0),"")</f>
        <v/>
      </c>
    </row>
    <row r="212" ht="17" customHeight="1">
      <c r="A212" s="38">
        <f>IF($J212="","",IFERROR(IF(INDEX(Tarifa!$E$13:$E$512,$J212)&amp;""=INDEX(Tarifa!$E$13:$E$512,$J211)&amp;"","",INDEX(Tarifa!$E$13:$E$512,$J212)&amp;""),""))</f>
        <v/>
      </c>
      <c r="B212" s="39">
        <f>IF($J212="","",INDEX(Tarifa!$A$13:$A$512,$J212)&amp;"")</f>
        <v/>
      </c>
      <c r="C212" s="39">
        <f>IF($J212="","",INDEX(Tarifa!$B$13:$B$512,$J212)&amp;"")</f>
        <v/>
      </c>
      <c r="D212" s="39">
        <f>IF($J212="","",INDEX(Tarifa!$C$13:$C$512,$J212)&amp;"")</f>
        <v/>
      </c>
      <c r="E212" s="40">
        <f>IF($J212="","",IF(INDEX(Tarifa!$D$13:$D$512,$J212)="","",INDEX(Tarifa!$D$13:$D$512,$J212)))</f>
        <v/>
      </c>
      <c r="F212" s="41">
        <f>IF(OR($J212="",$J$1=""),"",IF(INDEX(Tarifa!$G$13:$G$512,$J212)="","",IF(NOT(ISNUMBER(INDEX(Tarifa!$G$13:$G$512,$J212))),"Revisa",IF($J$1=1,INDEX(Tarifa!$G$13:$G$512,$J212),ROUND(ROUND(INDEX(Tarifa!$G$13:$G$512,$J212)*(1+$J$2/100)/$J$3,0)*$J$3,2)))))</f>
        <v/>
      </c>
      <c r="G212" s="42">
        <f>IF(OR(NOT(ISNUMBER(F212)),N(E212)&lt;=1),"",ROUND(F212/E212,3))</f>
        <v/>
      </c>
      <c r="H212" s="43">
        <f>IF($J212="","",IF(INDEX(Tarifa!$H$13:$H$512,$J212)="","",INDEX(Tarifa!$H$13:$H$512,$J212)))</f>
        <v/>
      </c>
      <c r="I212" s="41">
        <f>IF(OR($M$3="No",$M$3="",NOT(ISNUMBER(F212))),"",IF(NOT(ISNUMBER(H212)),"Falta IVA",ROUND(F212*(1+(H212+IF($M$3="Con IVA y recargo",IF(H212=21,5.2,IF(H212=10,1.4,IF(H212=4,0.5,0))),0))/100),2)))</f>
        <v/>
      </c>
      <c r="J212">
        <f>IFERROR(MATCH(202,Tarifa!$O$13:$O$512,0),"")</f>
        <v/>
      </c>
    </row>
    <row r="213" ht="17" customHeight="1">
      <c r="A213" s="38">
        <f>IF($J213="","",IFERROR(IF(INDEX(Tarifa!$E$13:$E$512,$J213)&amp;""=INDEX(Tarifa!$E$13:$E$512,$J212)&amp;"","",INDEX(Tarifa!$E$13:$E$512,$J213)&amp;""),""))</f>
        <v/>
      </c>
      <c r="B213" s="39">
        <f>IF($J213="","",INDEX(Tarifa!$A$13:$A$512,$J213)&amp;"")</f>
        <v/>
      </c>
      <c r="C213" s="39">
        <f>IF($J213="","",INDEX(Tarifa!$B$13:$B$512,$J213)&amp;"")</f>
        <v/>
      </c>
      <c r="D213" s="39">
        <f>IF($J213="","",INDEX(Tarifa!$C$13:$C$512,$J213)&amp;"")</f>
        <v/>
      </c>
      <c r="E213" s="40">
        <f>IF($J213="","",IF(INDEX(Tarifa!$D$13:$D$512,$J213)="","",INDEX(Tarifa!$D$13:$D$512,$J213)))</f>
        <v/>
      </c>
      <c r="F213" s="41">
        <f>IF(OR($J213="",$J$1=""),"",IF(INDEX(Tarifa!$G$13:$G$512,$J213)="","",IF(NOT(ISNUMBER(INDEX(Tarifa!$G$13:$G$512,$J213))),"Revisa",IF($J$1=1,INDEX(Tarifa!$G$13:$G$512,$J213),ROUND(ROUND(INDEX(Tarifa!$G$13:$G$512,$J213)*(1+$J$2/100)/$J$3,0)*$J$3,2)))))</f>
        <v/>
      </c>
      <c r="G213" s="42">
        <f>IF(OR(NOT(ISNUMBER(F213)),N(E213)&lt;=1),"",ROUND(F213/E213,3))</f>
        <v/>
      </c>
      <c r="H213" s="43">
        <f>IF($J213="","",IF(INDEX(Tarifa!$H$13:$H$512,$J213)="","",INDEX(Tarifa!$H$13:$H$512,$J213)))</f>
        <v/>
      </c>
      <c r="I213" s="41">
        <f>IF(OR($M$3="No",$M$3="",NOT(ISNUMBER(F213))),"",IF(NOT(ISNUMBER(H213)),"Falta IVA",ROUND(F213*(1+(H213+IF($M$3="Con IVA y recargo",IF(H213=21,5.2,IF(H213=10,1.4,IF(H213=4,0.5,0))),0))/100),2)))</f>
        <v/>
      </c>
      <c r="J213">
        <f>IFERROR(MATCH(203,Tarifa!$O$13:$O$512,0),"")</f>
        <v/>
      </c>
    </row>
    <row r="214" ht="17" customHeight="1">
      <c r="A214" s="38">
        <f>IF($J214="","",IFERROR(IF(INDEX(Tarifa!$E$13:$E$512,$J214)&amp;""=INDEX(Tarifa!$E$13:$E$512,$J213)&amp;"","",INDEX(Tarifa!$E$13:$E$512,$J214)&amp;""),""))</f>
        <v/>
      </c>
      <c r="B214" s="39">
        <f>IF($J214="","",INDEX(Tarifa!$A$13:$A$512,$J214)&amp;"")</f>
        <v/>
      </c>
      <c r="C214" s="39">
        <f>IF($J214="","",INDEX(Tarifa!$B$13:$B$512,$J214)&amp;"")</f>
        <v/>
      </c>
      <c r="D214" s="39">
        <f>IF($J214="","",INDEX(Tarifa!$C$13:$C$512,$J214)&amp;"")</f>
        <v/>
      </c>
      <c r="E214" s="40">
        <f>IF($J214="","",IF(INDEX(Tarifa!$D$13:$D$512,$J214)="","",INDEX(Tarifa!$D$13:$D$512,$J214)))</f>
        <v/>
      </c>
      <c r="F214" s="41">
        <f>IF(OR($J214="",$J$1=""),"",IF(INDEX(Tarifa!$G$13:$G$512,$J214)="","",IF(NOT(ISNUMBER(INDEX(Tarifa!$G$13:$G$512,$J214))),"Revisa",IF($J$1=1,INDEX(Tarifa!$G$13:$G$512,$J214),ROUND(ROUND(INDEX(Tarifa!$G$13:$G$512,$J214)*(1+$J$2/100)/$J$3,0)*$J$3,2)))))</f>
        <v/>
      </c>
      <c r="G214" s="42">
        <f>IF(OR(NOT(ISNUMBER(F214)),N(E214)&lt;=1),"",ROUND(F214/E214,3))</f>
        <v/>
      </c>
      <c r="H214" s="43">
        <f>IF($J214="","",IF(INDEX(Tarifa!$H$13:$H$512,$J214)="","",INDEX(Tarifa!$H$13:$H$512,$J214)))</f>
        <v/>
      </c>
      <c r="I214" s="41">
        <f>IF(OR($M$3="No",$M$3="",NOT(ISNUMBER(F214))),"",IF(NOT(ISNUMBER(H214)),"Falta IVA",ROUND(F214*(1+(H214+IF($M$3="Con IVA y recargo",IF(H214=21,5.2,IF(H214=10,1.4,IF(H214=4,0.5,0))),0))/100),2)))</f>
        <v/>
      </c>
      <c r="J214">
        <f>IFERROR(MATCH(204,Tarifa!$O$13:$O$512,0),"")</f>
        <v/>
      </c>
    </row>
    <row r="215" ht="17" customHeight="1">
      <c r="A215" s="38">
        <f>IF($J215="","",IFERROR(IF(INDEX(Tarifa!$E$13:$E$512,$J215)&amp;""=INDEX(Tarifa!$E$13:$E$512,$J214)&amp;"","",INDEX(Tarifa!$E$13:$E$512,$J215)&amp;""),""))</f>
        <v/>
      </c>
      <c r="B215" s="39">
        <f>IF($J215="","",INDEX(Tarifa!$A$13:$A$512,$J215)&amp;"")</f>
        <v/>
      </c>
      <c r="C215" s="39">
        <f>IF($J215="","",INDEX(Tarifa!$B$13:$B$512,$J215)&amp;"")</f>
        <v/>
      </c>
      <c r="D215" s="39">
        <f>IF($J215="","",INDEX(Tarifa!$C$13:$C$512,$J215)&amp;"")</f>
        <v/>
      </c>
      <c r="E215" s="40">
        <f>IF($J215="","",IF(INDEX(Tarifa!$D$13:$D$512,$J215)="","",INDEX(Tarifa!$D$13:$D$512,$J215)))</f>
        <v/>
      </c>
      <c r="F215" s="41">
        <f>IF(OR($J215="",$J$1=""),"",IF(INDEX(Tarifa!$G$13:$G$512,$J215)="","",IF(NOT(ISNUMBER(INDEX(Tarifa!$G$13:$G$512,$J215))),"Revisa",IF($J$1=1,INDEX(Tarifa!$G$13:$G$512,$J215),ROUND(ROUND(INDEX(Tarifa!$G$13:$G$512,$J215)*(1+$J$2/100)/$J$3,0)*$J$3,2)))))</f>
        <v/>
      </c>
      <c r="G215" s="42">
        <f>IF(OR(NOT(ISNUMBER(F215)),N(E215)&lt;=1),"",ROUND(F215/E215,3))</f>
        <v/>
      </c>
      <c r="H215" s="43">
        <f>IF($J215="","",IF(INDEX(Tarifa!$H$13:$H$512,$J215)="","",INDEX(Tarifa!$H$13:$H$512,$J215)))</f>
        <v/>
      </c>
      <c r="I215" s="41">
        <f>IF(OR($M$3="No",$M$3="",NOT(ISNUMBER(F215))),"",IF(NOT(ISNUMBER(H215)),"Falta IVA",ROUND(F215*(1+(H215+IF($M$3="Con IVA y recargo",IF(H215=21,5.2,IF(H215=10,1.4,IF(H215=4,0.5,0))),0))/100),2)))</f>
        <v/>
      </c>
      <c r="J215">
        <f>IFERROR(MATCH(205,Tarifa!$O$13:$O$512,0),"")</f>
        <v/>
      </c>
    </row>
    <row r="216" ht="17" customHeight="1">
      <c r="A216" s="38">
        <f>IF($J216="","",IFERROR(IF(INDEX(Tarifa!$E$13:$E$512,$J216)&amp;""=INDEX(Tarifa!$E$13:$E$512,$J215)&amp;"","",INDEX(Tarifa!$E$13:$E$512,$J216)&amp;""),""))</f>
        <v/>
      </c>
      <c r="B216" s="39">
        <f>IF($J216="","",INDEX(Tarifa!$A$13:$A$512,$J216)&amp;"")</f>
        <v/>
      </c>
      <c r="C216" s="39">
        <f>IF($J216="","",INDEX(Tarifa!$B$13:$B$512,$J216)&amp;"")</f>
        <v/>
      </c>
      <c r="D216" s="39">
        <f>IF($J216="","",INDEX(Tarifa!$C$13:$C$512,$J216)&amp;"")</f>
        <v/>
      </c>
      <c r="E216" s="40">
        <f>IF($J216="","",IF(INDEX(Tarifa!$D$13:$D$512,$J216)="","",INDEX(Tarifa!$D$13:$D$512,$J216)))</f>
        <v/>
      </c>
      <c r="F216" s="41">
        <f>IF(OR($J216="",$J$1=""),"",IF(INDEX(Tarifa!$G$13:$G$512,$J216)="","",IF(NOT(ISNUMBER(INDEX(Tarifa!$G$13:$G$512,$J216))),"Revisa",IF($J$1=1,INDEX(Tarifa!$G$13:$G$512,$J216),ROUND(ROUND(INDEX(Tarifa!$G$13:$G$512,$J216)*(1+$J$2/100)/$J$3,0)*$J$3,2)))))</f>
        <v/>
      </c>
      <c r="G216" s="42">
        <f>IF(OR(NOT(ISNUMBER(F216)),N(E216)&lt;=1),"",ROUND(F216/E216,3))</f>
        <v/>
      </c>
      <c r="H216" s="43">
        <f>IF($J216="","",IF(INDEX(Tarifa!$H$13:$H$512,$J216)="","",INDEX(Tarifa!$H$13:$H$512,$J216)))</f>
        <v/>
      </c>
      <c r="I216" s="41">
        <f>IF(OR($M$3="No",$M$3="",NOT(ISNUMBER(F216))),"",IF(NOT(ISNUMBER(H216)),"Falta IVA",ROUND(F216*(1+(H216+IF($M$3="Con IVA y recargo",IF(H216=21,5.2,IF(H216=10,1.4,IF(H216=4,0.5,0))),0))/100),2)))</f>
        <v/>
      </c>
      <c r="J216">
        <f>IFERROR(MATCH(206,Tarifa!$O$13:$O$512,0),"")</f>
        <v/>
      </c>
    </row>
    <row r="217" ht="17" customHeight="1">
      <c r="A217" s="38">
        <f>IF($J217="","",IFERROR(IF(INDEX(Tarifa!$E$13:$E$512,$J217)&amp;""=INDEX(Tarifa!$E$13:$E$512,$J216)&amp;"","",INDEX(Tarifa!$E$13:$E$512,$J217)&amp;""),""))</f>
        <v/>
      </c>
      <c r="B217" s="39">
        <f>IF($J217="","",INDEX(Tarifa!$A$13:$A$512,$J217)&amp;"")</f>
        <v/>
      </c>
      <c r="C217" s="39">
        <f>IF($J217="","",INDEX(Tarifa!$B$13:$B$512,$J217)&amp;"")</f>
        <v/>
      </c>
      <c r="D217" s="39">
        <f>IF($J217="","",INDEX(Tarifa!$C$13:$C$512,$J217)&amp;"")</f>
        <v/>
      </c>
      <c r="E217" s="40">
        <f>IF($J217="","",IF(INDEX(Tarifa!$D$13:$D$512,$J217)="","",INDEX(Tarifa!$D$13:$D$512,$J217)))</f>
        <v/>
      </c>
      <c r="F217" s="41">
        <f>IF(OR($J217="",$J$1=""),"",IF(INDEX(Tarifa!$G$13:$G$512,$J217)="","",IF(NOT(ISNUMBER(INDEX(Tarifa!$G$13:$G$512,$J217))),"Revisa",IF($J$1=1,INDEX(Tarifa!$G$13:$G$512,$J217),ROUND(ROUND(INDEX(Tarifa!$G$13:$G$512,$J217)*(1+$J$2/100)/$J$3,0)*$J$3,2)))))</f>
        <v/>
      </c>
      <c r="G217" s="42">
        <f>IF(OR(NOT(ISNUMBER(F217)),N(E217)&lt;=1),"",ROUND(F217/E217,3))</f>
        <v/>
      </c>
      <c r="H217" s="43">
        <f>IF($J217="","",IF(INDEX(Tarifa!$H$13:$H$512,$J217)="","",INDEX(Tarifa!$H$13:$H$512,$J217)))</f>
        <v/>
      </c>
      <c r="I217" s="41">
        <f>IF(OR($M$3="No",$M$3="",NOT(ISNUMBER(F217))),"",IF(NOT(ISNUMBER(H217)),"Falta IVA",ROUND(F217*(1+(H217+IF($M$3="Con IVA y recargo",IF(H217=21,5.2,IF(H217=10,1.4,IF(H217=4,0.5,0))),0))/100),2)))</f>
        <v/>
      </c>
      <c r="J217">
        <f>IFERROR(MATCH(207,Tarifa!$O$13:$O$512,0),"")</f>
        <v/>
      </c>
    </row>
    <row r="218" ht="17" customHeight="1">
      <c r="A218" s="38">
        <f>IF($J218="","",IFERROR(IF(INDEX(Tarifa!$E$13:$E$512,$J218)&amp;""=INDEX(Tarifa!$E$13:$E$512,$J217)&amp;"","",INDEX(Tarifa!$E$13:$E$512,$J218)&amp;""),""))</f>
        <v/>
      </c>
      <c r="B218" s="39">
        <f>IF($J218="","",INDEX(Tarifa!$A$13:$A$512,$J218)&amp;"")</f>
        <v/>
      </c>
      <c r="C218" s="39">
        <f>IF($J218="","",INDEX(Tarifa!$B$13:$B$512,$J218)&amp;"")</f>
        <v/>
      </c>
      <c r="D218" s="39">
        <f>IF($J218="","",INDEX(Tarifa!$C$13:$C$512,$J218)&amp;"")</f>
        <v/>
      </c>
      <c r="E218" s="40">
        <f>IF($J218="","",IF(INDEX(Tarifa!$D$13:$D$512,$J218)="","",INDEX(Tarifa!$D$13:$D$512,$J218)))</f>
        <v/>
      </c>
      <c r="F218" s="41">
        <f>IF(OR($J218="",$J$1=""),"",IF(INDEX(Tarifa!$G$13:$G$512,$J218)="","",IF(NOT(ISNUMBER(INDEX(Tarifa!$G$13:$G$512,$J218))),"Revisa",IF($J$1=1,INDEX(Tarifa!$G$13:$G$512,$J218),ROUND(ROUND(INDEX(Tarifa!$G$13:$G$512,$J218)*(1+$J$2/100)/$J$3,0)*$J$3,2)))))</f>
        <v/>
      </c>
      <c r="G218" s="42">
        <f>IF(OR(NOT(ISNUMBER(F218)),N(E218)&lt;=1),"",ROUND(F218/E218,3))</f>
        <v/>
      </c>
      <c r="H218" s="43">
        <f>IF($J218="","",IF(INDEX(Tarifa!$H$13:$H$512,$J218)="","",INDEX(Tarifa!$H$13:$H$512,$J218)))</f>
        <v/>
      </c>
      <c r="I218" s="41">
        <f>IF(OR($M$3="No",$M$3="",NOT(ISNUMBER(F218))),"",IF(NOT(ISNUMBER(H218)),"Falta IVA",ROUND(F218*(1+(H218+IF($M$3="Con IVA y recargo",IF(H218=21,5.2,IF(H218=10,1.4,IF(H218=4,0.5,0))),0))/100),2)))</f>
        <v/>
      </c>
      <c r="J218">
        <f>IFERROR(MATCH(208,Tarifa!$O$13:$O$512,0),"")</f>
        <v/>
      </c>
    </row>
    <row r="219" ht="17" customHeight="1">
      <c r="A219" s="38">
        <f>IF($J219="","",IFERROR(IF(INDEX(Tarifa!$E$13:$E$512,$J219)&amp;""=INDEX(Tarifa!$E$13:$E$512,$J218)&amp;"","",INDEX(Tarifa!$E$13:$E$512,$J219)&amp;""),""))</f>
        <v/>
      </c>
      <c r="B219" s="39">
        <f>IF($J219="","",INDEX(Tarifa!$A$13:$A$512,$J219)&amp;"")</f>
        <v/>
      </c>
      <c r="C219" s="39">
        <f>IF($J219="","",INDEX(Tarifa!$B$13:$B$512,$J219)&amp;"")</f>
        <v/>
      </c>
      <c r="D219" s="39">
        <f>IF($J219="","",INDEX(Tarifa!$C$13:$C$512,$J219)&amp;"")</f>
        <v/>
      </c>
      <c r="E219" s="40">
        <f>IF($J219="","",IF(INDEX(Tarifa!$D$13:$D$512,$J219)="","",INDEX(Tarifa!$D$13:$D$512,$J219)))</f>
        <v/>
      </c>
      <c r="F219" s="41">
        <f>IF(OR($J219="",$J$1=""),"",IF(INDEX(Tarifa!$G$13:$G$512,$J219)="","",IF(NOT(ISNUMBER(INDEX(Tarifa!$G$13:$G$512,$J219))),"Revisa",IF($J$1=1,INDEX(Tarifa!$G$13:$G$512,$J219),ROUND(ROUND(INDEX(Tarifa!$G$13:$G$512,$J219)*(1+$J$2/100)/$J$3,0)*$J$3,2)))))</f>
        <v/>
      </c>
      <c r="G219" s="42">
        <f>IF(OR(NOT(ISNUMBER(F219)),N(E219)&lt;=1),"",ROUND(F219/E219,3))</f>
        <v/>
      </c>
      <c r="H219" s="43">
        <f>IF($J219="","",IF(INDEX(Tarifa!$H$13:$H$512,$J219)="","",INDEX(Tarifa!$H$13:$H$512,$J219)))</f>
        <v/>
      </c>
      <c r="I219" s="41">
        <f>IF(OR($M$3="No",$M$3="",NOT(ISNUMBER(F219))),"",IF(NOT(ISNUMBER(H219)),"Falta IVA",ROUND(F219*(1+(H219+IF($M$3="Con IVA y recargo",IF(H219=21,5.2,IF(H219=10,1.4,IF(H219=4,0.5,0))),0))/100),2)))</f>
        <v/>
      </c>
      <c r="J219">
        <f>IFERROR(MATCH(209,Tarifa!$O$13:$O$512,0),"")</f>
        <v/>
      </c>
    </row>
    <row r="220" ht="17" customHeight="1">
      <c r="A220" s="38">
        <f>IF($J220="","",IFERROR(IF(INDEX(Tarifa!$E$13:$E$512,$J220)&amp;""=INDEX(Tarifa!$E$13:$E$512,$J219)&amp;"","",INDEX(Tarifa!$E$13:$E$512,$J220)&amp;""),""))</f>
        <v/>
      </c>
      <c r="B220" s="39">
        <f>IF($J220="","",INDEX(Tarifa!$A$13:$A$512,$J220)&amp;"")</f>
        <v/>
      </c>
      <c r="C220" s="39">
        <f>IF($J220="","",INDEX(Tarifa!$B$13:$B$512,$J220)&amp;"")</f>
        <v/>
      </c>
      <c r="D220" s="39">
        <f>IF($J220="","",INDEX(Tarifa!$C$13:$C$512,$J220)&amp;"")</f>
        <v/>
      </c>
      <c r="E220" s="40">
        <f>IF($J220="","",IF(INDEX(Tarifa!$D$13:$D$512,$J220)="","",INDEX(Tarifa!$D$13:$D$512,$J220)))</f>
        <v/>
      </c>
      <c r="F220" s="41">
        <f>IF(OR($J220="",$J$1=""),"",IF(INDEX(Tarifa!$G$13:$G$512,$J220)="","",IF(NOT(ISNUMBER(INDEX(Tarifa!$G$13:$G$512,$J220))),"Revisa",IF($J$1=1,INDEX(Tarifa!$G$13:$G$512,$J220),ROUND(ROUND(INDEX(Tarifa!$G$13:$G$512,$J220)*(1+$J$2/100)/$J$3,0)*$J$3,2)))))</f>
        <v/>
      </c>
      <c r="G220" s="42">
        <f>IF(OR(NOT(ISNUMBER(F220)),N(E220)&lt;=1),"",ROUND(F220/E220,3))</f>
        <v/>
      </c>
      <c r="H220" s="43">
        <f>IF($J220="","",IF(INDEX(Tarifa!$H$13:$H$512,$J220)="","",INDEX(Tarifa!$H$13:$H$512,$J220)))</f>
        <v/>
      </c>
      <c r="I220" s="41">
        <f>IF(OR($M$3="No",$M$3="",NOT(ISNUMBER(F220))),"",IF(NOT(ISNUMBER(H220)),"Falta IVA",ROUND(F220*(1+(H220+IF($M$3="Con IVA y recargo",IF(H220=21,5.2,IF(H220=10,1.4,IF(H220=4,0.5,0))),0))/100),2)))</f>
        <v/>
      </c>
      <c r="J220">
        <f>IFERROR(MATCH(210,Tarifa!$O$13:$O$512,0),"")</f>
        <v/>
      </c>
    </row>
    <row r="221" ht="17" customHeight="1">
      <c r="A221" s="38">
        <f>IF($J221="","",IFERROR(IF(INDEX(Tarifa!$E$13:$E$512,$J221)&amp;""=INDEX(Tarifa!$E$13:$E$512,$J220)&amp;"","",INDEX(Tarifa!$E$13:$E$512,$J221)&amp;""),""))</f>
        <v/>
      </c>
      <c r="B221" s="39">
        <f>IF($J221="","",INDEX(Tarifa!$A$13:$A$512,$J221)&amp;"")</f>
        <v/>
      </c>
      <c r="C221" s="39">
        <f>IF($J221="","",INDEX(Tarifa!$B$13:$B$512,$J221)&amp;"")</f>
        <v/>
      </c>
      <c r="D221" s="39">
        <f>IF($J221="","",INDEX(Tarifa!$C$13:$C$512,$J221)&amp;"")</f>
        <v/>
      </c>
      <c r="E221" s="40">
        <f>IF($J221="","",IF(INDEX(Tarifa!$D$13:$D$512,$J221)="","",INDEX(Tarifa!$D$13:$D$512,$J221)))</f>
        <v/>
      </c>
      <c r="F221" s="41">
        <f>IF(OR($J221="",$J$1=""),"",IF(INDEX(Tarifa!$G$13:$G$512,$J221)="","",IF(NOT(ISNUMBER(INDEX(Tarifa!$G$13:$G$512,$J221))),"Revisa",IF($J$1=1,INDEX(Tarifa!$G$13:$G$512,$J221),ROUND(ROUND(INDEX(Tarifa!$G$13:$G$512,$J221)*(1+$J$2/100)/$J$3,0)*$J$3,2)))))</f>
        <v/>
      </c>
      <c r="G221" s="42">
        <f>IF(OR(NOT(ISNUMBER(F221)),N(E221)&lt;=1),"",ROUND(F221/E221,3))</f>
        <v/>
      </c>
      <c r="H221" s="43">
        <f>IF($J221="","",IF(INDEX(Tarifa!$H$13:$H$512,$J221)="","",INDEX(Tarifa!$H$13:$H$512,$J221)))</f>
        <v/>
      </c>
      <c r="I221" s="41">
        <f>IF(OR($M$3="No",$M$3="",NOT(ISNUMBER(F221))),"",IF(NOT(ISNUMBER(H221)),"Falta IVA",ROUND(F221*(1+(H221+IF($M$3="Con IVA y recargo",IF(H221=21,5.2,IF(H221=10,1.4,IF(H221=4,0.5,0))),0))/100),2)))</f>
        <v/>
      </c>
      <c r="J221">
        <f>IFERROR(MATCH(211,Tarifa!$O$13:$O$512,0),"")</f>
        <v/>
      </c>
    </row>
    <row r="222" ht="17" customHeight="1">
      <c r="A222" s="38">
        <f>IF($J222="","",IFERROR(IF(INDEX(Tarifa!$E$13:$E$512,$J222)&amp;""=INDEX(Tarifa!$E$13:$E$512,$J221)&amp;"","",INDEX(Tarifa!$E$13:$E$512,$J222)&amp;""),""))</f>
        <v/>
      </c>
      <c r="B222" s="39">
        <f>IF($J222="","",INDEX(Tarifa!$A$13:$A$512,$J222)&amp;"")</f>
        <v/>
      </c>
      <c r="C222" s="39">
        <f>IF($J222="","",INDEX(Tarifa!$B$13:$B$512,$J222)&amp;"")</f>
        <v/>
      </c>
      <c r="D222" s="39">
        <f>IF($J222="","",INDEX(Tarifa!$C$13:$C$512,$J222)&amp;"")</f>
        <v/>
      </c>
      <c r="E222" s="40">
        <f>IF($J222="","",IF(INDEX(Tarifa!$D$13:$D$512,$J222)="","",INDEX(Tarifa!$D$13:$D$512,$J222)))</f>
        <v/>
      </c>
      <c r="F222" s="41">
        <f>IF(OR($J222="",$J$1=""),"",IF(INDEX(Tarifa!$G$13:$G$512,$J222)="","",IF(NOT(ISNUMBER(INDEX(Tarifa!$G$13:$G$512,$J222))),"Revisa",IF($J$1=1,INDEX(Tarifa!$G$13:$G$512,$J222),ROUND(ROUND(INDEX(Tarifa!$G$13:$G$512,$J222)*(1+$J$2/100)/$J$3,0)*$J$3,2)))))</f>
        <v/>
      </c>
      <c r="G222" s="42">
        <f>IF(OR(NOT(ISNUMBER(F222)),N(E222)&lt;=1),"",ROUND(F222/E222,3))</f>
        <v/>
      </c>
      <c r="H222" s="43">
        <f>IF($J222="","",IF(INDEX(Tarifa!$H$13:$H$512,$J222)="","",INDEX(Tarifa!$H$13:$H$512,$J222)))</f>
        <v/>
      </c>
      <c r="I222" s="41">
        <f>IF(OR($M$3="No",$M$3="",NOT(ISNUMBER(F222))),"",IF(NOT(ISNUMBER(H222)),"Falta IVA",ROUND(F222*(1+(H222+IF($M$3="Con IVA y recargo",IF(H222=21,5.2,IF(H222=10,1.4,IF(H222=4,0.5,0))),0))/100),2)))</f>
        <v/>
      </c>
      <c r="J222">
        <f>IFERROR(MATCH(212,Tarifa!$O$13:$O$512,0),"")</f>
        <v/>
      </c>
    </row>
    <row r="223" ht="17" customHeight="1">
      <c r="A223" s="38">
        <f>IF($J223="","",IFERROR(IF(INDEX(Tarifa!$E$13:$E$512,$J223)&amp;""=INDEX(Tarifa!$E$13:$E$512,$J222)&amp;"","",INDEX(Tarifa!$E$13:$E$512,$J223)&amp;""),""))</f>
        <v/>
      </c>
      <c r="B223" s="39">
        <f>IF($J223="","",INDEX(Tarifa!$A$13:$A$512,$J223)&amp;"")</f>
        <v/>
      </c>
      <c r="C223" s="39">
        <f>IF($J223="","",INDEX(Tarifa!$B$13:$B$512,$J223)&amp;"")</f>
        <v/>
      </c>
      <c r="D223" s="39">
        <f>IF($J223="","",INDEX(Tarifa!$C$13:$C$512,$J223)&amp;"")</f>
        <v/>
      </c>
      <c r="E223" s="40">
        <f>IF($J223="","",IF(INDEX(Tarifa!$D$13:$D$512,$J223)="","",INDEX(Tarifa!$D$13:$D$512,$J223)))</f>
        <v/>
      </c>
      <c r="F223" s="41">
        <f>IF(OR($J223="",$J$1=""),"",IF(INDEX(Tarifa!$G$13:$G$512,$J223)="","",IF(NOT(ISNUMBER(INDEX(Tarifa!$G$13:$G$512,$J223))),"Revisa",IF($J$1=1,INDEX(Tarifa!$G$13:$G$512,$J223),ROUND(ROUND(INDEX(Tarifa!$G$13:$G$512,$J223)*(1+$J$2/100)/$J$3,0)*$J$3,2)))))</f>
        <v/>
      </c>
      <c r="G223" s="42">
        <f>IF(OR(NOT(ISNUMBER(F223)),N(E223)&lt;=1),"",ROUND(F223/E223,3))</f>
        <v/>
      </c>
      <c r="H223" s="43">
        <f>IF($J223="","",IF(INDEX(Tarifa!$H$13:$H$512,$J223)="","",INDEX(Tarifa!$H$13:$H$512,$J223)))</f>
        <v/>
      </c>
      <c r="I223" s="41">
        <f>IF(OR($M$3="No",$M$3="",NOT(ISNUMBER(F223))),"",IF(NOT(ISNUMBER(H223)),"Falta IVA",ROUND(F223*(1+(H223+IF($M$3="Con IVA y recargo",IF(H223=21,5.2,IF(H223=10,1.4,IF(H223=4,0.5,0))),0))/100),2)))</f>
        <v/>
      </c>
      <c r="J223">
        <f>IFERROR(MATCH(213,Tarifa!$O$13:$O$512,0),"")</f>
        <v/>
      </c>
    </row>
    <row r="224" ht="17" customHeight="1">
      <c r="A224" s="38">
        <f>IF($J224="","",IFERROR(IF(INDEX(Tarifa!$E$13:$E$512,$J224)&amp;""=INDEX(Tarifa!$E$13:$E$512,$J223)&amp;"","",INDEX(Tarifa!$E$13:$E$512,$J224)&amp;""),""))</f>
        <v/>
      </c>
      <c r="B224" s="39">
        <f>IF($J224="","",INDEX(Tarifa!$A$13:$A$512,$J224)&amp;"")</f>
        <v/>
      </c>
      <c r="C224" s="39">
        <f>IF($J224="","",INDEX(Tarifa!$B$13:$B$512,$J224)&amp;"")</f>
        <v/>
      </c>
      <c r="D224" s="39">
        <f>IF($J224="","",INDEX(Tarifa!$C$13:$C$512,$J224)&amp;"")</f>
        <v/>
      </c>
      <c r="E224" s="40">
        <f>IF($J224="","",IF(INDEX(Tarifa!$D$13:$D$512,$J224)="","",INDEX(Tarifa!$D$13:$D$512,$J224)))</f>
        <v/>
      </c>
      <c r="F224" s="41">
        <f>IF(OR($J224="",$J$1=""),"",IF(INDEX(Tarifa!$G$13:$G$512,$J224)="","",IF(NOT(ISNUMBER(INDEX(Tarifa!$G$13:$G$512,$J224))),"Revisa",IF($J$1=1,INDEX(Tarifa!$G$13:$G$512,$J224),ROUND(ROUND(INDEX(Tarifa!$G$13:$G$512,$J224)*(1+$J$2/100)/$J$3,0)*$J$3,2)))))</f>
        <v/>
      </c>
      <c r="G224" s="42">
        <f>IF(OR(NOT(ISNUMBER(F224)),N(E224)&lt;=1),"",ROUND(F224/E224,3))</f>
        <v/>
      </c>
      <c r="H224" s="43">
        <f>IF($J224="","",IF(INDEX(Tarifa!$H$13:$H$512,$J224)="","",INDEX(Tarifa!$H$13:$H$512,$J224)))</f>
        <v/>
      </c>
      <c r="I224" s="41">
        <f>IF(OR($M$3="No",$M$3="",NOT(ISNUMBER(F224))),"",IF(NOT(ISNUMBER(H224)),"Falta IVA",ROUND(F224*(1+(H224+IF($M$3="Con IVA y recargo",IF(H224=21,5.2,IF(H224=10,1.4,IF(H224=4,0.5,0))),0))/100),2)))</f>
        <v/>
      </c>
      <c r="J224">
        <f>IFERROR(MATCH(214,Tarifa!$O$13:$O$512,0),"")</f>
        <v/>
      </c>
    </row>
    <row r="225" ht="17" customHeight="1">
      <c r="A225" s="38">
        <f>IF($J225="","",IFERROR(IF(INDEX(Tarifa!$E$13:$E$512,$J225)&amp;""=INDEX(Tarifa!$E$13:$E$512,$J224)&amp;"","",INDEX(Tarifa!$E$13:$E$512,$J225)&amp;""),""))</f>
        <v/>
      </c>
      <c r="B225" s="39">
        <f>IF($J225="","",INDEX(Tarifa!$A$13:$A$512,$J225)&amp;"")</f>
        <v/>
      </c>
      <c r="C225" s="39">
        <f>IF($J225="","",INDEX(Tarifa!$B$13:$B$512,$J225)&amp;"")</f>
        <v/>
      </c>
      <c r="D225" s="39">
        <f>IF($J225="","",INDEX(Tarifa!$C$13:$C$512,$J225)&amp;"")</f>
        <v/>
      </c>
      <c r="E225" s="40">
        <f>IF($J225="","",IF(INDEX(Tarifa!$D$13:$D$512,$J225)="","",INDEX(Tarifa!$D$13:$D$512,$J225)))</f>
        <v/>
      </c>
      <c r="F225" s="41">
        <f>IF(OR($J225="",$J$1=""),"",IF(INDEX(Tarifa!$G$13:$G$512,$J225)="","",IF(NOT(ISNUMBER(INDEX(Tarifa!$G$13:$G$512,$J225))),"Revisa",IF($J$1=1,INDEX(Tarifa!$G$13:$G$512,$J225),ROUND(ROUND(INDEX(Tarifa!$G$13:$G$512,$J225)*(1+$J$2/100)/$J$3,0)*$J$3,2)))))</f>
        <v/>
      </c>
      <c r="G225" s="42">
        <f>IF(OR(NOT(ISNUMBER(F225)),N(E225)&lt;=1),"",ROUND(F225/E225,3))</f>
        <v/>
      </c>
      <c r="H225" s="43">
        <f>IF($J225="","",IF(INDEX(Tarifa!$H$13:$H$512,$J225)="","",INDEX(Tarifa!$H$13:$H$512,$J225)))</f>
        <v/>
      </c>
      <c r="I225" s="41">
        <f>IF(OR($M$3="No",$M$3="",NOT(ISNUMBER(F225))),"",IF(NOT(ISNUMBER(H225)),"Falta IVA",ROUND(F225*(1+(H225+IF($M$3="Con IVA y recargo",IF(H225=21,5.2,IF(H225=10,1.4,IF(H225=4,0.5,0))),0))/100),2)))</f>
        <v/>
      </c>
      <c r="J225">
        <f>IFERROR(MATCH(215,Tarifa!$O$13:$O$512,0),"")</f>
        <v/>
      </c>
    </row>
    <row r="226" ht="17" customHeight="1">
      <c r="A226" s="38">
        <f>IF($J226="","",IFERROR(IF(INDEX(Tarifa!$E$13:$E$512,$J226)&amp;""=INDEX(Tarifa!$E$13:$E$512,$J225)&amp;"","",INDEX(Tarifa!$E$13:$E$512,$J226)&amp;""),""))</f>
        <v/>
      </c>
      <c r="B226" s="39">
        <f>IF($J226="","",INDEX(Tarifa!$A$13:$A$512,$J226)&amp;"")</f>
        <v/>
      </c>
      <c r="C226" s="39">
        <f>IF($J226="","",INDEX(Tarifa!$B$13:$B$512,$J226)&amp;"")</f>
        <v/>
      </c>
      <c r="D226" s="39">
        <f>IF($J226="","",INDEX(Tarifa!$C$13:$C$512,$J226)&amp;"")</f>
        <v/>
      </c>
      <c r="E226" s="40">
        <f>IF($J226="","",IF(INDEX(Tarifa!$D$13:$D$512,$J226)="","",INDEX(Tarifa!$D$13:$D$512,$J226)))</f>
        <v/>
      </c>
      <c r="F226" s="41">
        <f>IF(OR($J226="",$J$1=""),"",IF(INDEX(Tarifa!$G$13:$G$512,$J226)="","",IF(NOT(ISNUMBER(INDEX(Tarifa!$G$13:$G$512,$J226))),"Revisa",IF($J$1=1,INDEX(Tarifa!$G$13:$G$512,$J226),ROUND(ROUND(INDEX(Tarifa!$G$13:$G$512,$J226)*(1+$J$2/100)/$J$3,0)*$J$3,2)))))</f>
        <v/>
      </c>
      <c r="G226" s="42">
        <f>IF(OR(NOT(ISNUMBER(F226)),N(E226)&lt;=1),"",ROUND(F226/E226,3))</f>
        <v/>
      </c>
      <c r="H226" s="43">
        <f>IF($J226="","",IF(INDEX(Tarifa!$H$13:$H$512,$J226)="","",INDEX(Tarifa!$H$13:$H$512,$J226)))</f>
        <v/>
      </c>
      <c r="I226" s="41">
        <f>IF(OR($M$3="No",$M$3="",NOT(ISNUMBER(F226))),"",IF(NOT(ISNUMBER(H226)),"Falta IVA",ROUND(F226*(1+(H226+IF($M$3="Con IVA y recargo",IF(H226=21,5.2,IF(H226=10,1.4,IF(H226=4,0.5,0))),0))/100),2)))</f>
        <v/>
      </c>
      <c r="J226">
        <f>IFERROR(MATCH(216,Tarifa!$O$13:$O$512,0),"")</f>
        <v/>
      </c>
    </row>
    <row r="227" ht="17" customHeight="1">
      <c r="A227" s="38">
        <f>IF($J227="","",IFERROR(IF(INDEX(Tarifa!$E$13:$E$512,$J227)&amp;""=INDEX(Tarifa!$E$13:$E$512,$J226)&amp;"","",INDEX(Tarifa!$E$13:$E$512,$J227)&amp;""),""))</f>
        <v/>
      </c>
      <c r="B227" s="39">
        <f>IF($J227="","",INDEX(Tarifa!$A$13:$A$512,$J227)&amp;"")</f>
        <v/>
      </c>
      <c r="C227" s="39">
        <f>IF($J227="","",INDEX(Tarifa!$B$13:$B$512,$J227)&amp;"")</f>
        <v/>
      </c>
      <c r="D227" s="39">
        <f>IF($J227="","",INDEX(Tarifa!$C$13:$C$512,$J227)&amp;"")</f>
        <v/>
      </c>
      <c r="E227" s="40">
        <f>IF($J227="","",IF(INDEX(Tarifa!$D$13:$D$512,$J227)="","",INDEX(Tarifa!$D$13:$D$512,$J227)))</f>
        <v/>
      </c>
      <c r="F227" s="41">
        <f>IF(OR($J227="",$J$1=""),"",IF(INDEX(Tarifa!$G$13:$G$512,$J227)="","",IF(NOT(ISNUMBER(INDEX(Tarifa!$G$13:$G$512,$J227))),"Revisa",IF($J$1=1,INDEX(Tarifa!$G$13:$G$512,$J227),ROUND(ROUND(INDEX(Tarifa!$G$13:$G$512,$J227)*(1+$J$2/100)/$J$3,0)*$J$3,2)))))</f>
        <v/>
      </c>
      <c r="G227" s="42">
        <f>IF(OR(NOT(ISNUMBER(F227)),N(E227)&lt;=1),"",ROUND(F227/E227,3))</f>
        <v/>
      </c>
      <c r="H227" s="43">
        <f>IF($J227="","",IF(INDEX(Tarifa!$H$13:$H$512,$J227)="","",INDEX(Tarifa!$H$13:$H$512,$J227)))</f>
        <v/>
      </c>
      <c r="I227" s="41">
        <f>IF(OR($M$3="No",$M$3="",NOT(ISNUMBER(F227))),"",IF(NOT(ISNUMBER(H227)),"Falta IVA",ROUND(F227*(1+(H227+IF($M$3="Con IVA y recargo",IF(H227=21,5.2,IF(H227=10,1.4,IF(H227=4,0.5,0))),0))/100),2)))</f>
        <v/>
      </c>
      <c r="J227">
        <f>IFERROR(MATCH(217,Tarifa!$O$13:$O$512,0),"")</f>
        <v/>
      </c>
    </row>
    <row r="228" ht="17" customHeight="1">
      <c r="A228" s="38">
        <f>IF($J228="","",IFERROR(IF(INDEX(Tarifa!$E$13:$E$512,$J228)&amp;""=INDEX(Tarifa!$E$13:$E$512,$J227)&amp;"","",INDEX(Tarifa!$E$13:$E$512,$J228)&amp;""),""))</f>
        <v/>
      </c>
      <c r="B228" s="39">
        <f>IF($J228="","",INDEX(Tarifa!$A$13:$A$512,$J228)&amp;"")</f>
        <v/>
      </c>
      <c r="C228" s="39">
        <f>IF($J228="","",INDEX(Tarifa!$B$13:$B$512,$J228)&amp;"")</f>
        <v/>
      </c>
      <c r="D228" s="39">
        <f>IF($J228="","",INDEX(Tarifa!$C$13:$C$512,$J228)&amp;"")</f>
        <v/>
      </c>
      <c r="E228" s="40">
        <f>IF($J228="","",IF(INDEX(Tarifa!$D$13:$D$512,$J228)="","",INDEX(Tarifa!$D$13:$D$512,$J228)))</f>
        <v/>
      </c>
      <c r="F228" s="41">
        <f>IF(OR($J228="",$J$1=""),"",IF(INDEX(Tarifa!$G$13:$G$512,$J228)="","",IF(NOT(ISNUMBER(INDEX(Tarifa!$G$13:$G$512,$J228))),"Revisa",IF($J$1=1,INDEX(Tarifa!$G$13:$G$512,$J228),ROUND(ROUND(INDEX(Tarifa!$G$13:$G$512,$J228)*(1+$J$2/100)/$J$3,0)*$J$3,2)))))</f>
        <v/>
      </c>
      <c r="G228" s="42">
        <f>IF(OR(NOT(ISNUMBER(F228)),N(E228)&lt;=1),"",ROUND(F228/E228,3))</f>
        <v/>
      </c>
      <c r="H228" s="43">
        <f>IF($J228="","",IF(INDEX(Tarifa!$H$13:$H$512,$J228)="","",INDEX(Tarifa!$H$13:$H$512,$J228)))</f>
        <v/>
      </c>
      <c r="I228" s="41">
        <f>IF(OR($M$3="No",$M$3="",NOT(ISNUMBER(F228))),"",IF(NOT(ISNUMBER(H228)),"Falta IVA",ROUND(F228*(1+(H228+IF($M$3="Con IVA y recargo",IF(H228=21,5.2,IF(H228=10,1.4,IF(H228=4,0.5,0))),0))/100),2)))</f>
        <v/>
      </c>
      <c r="J228">
        <f>IFERROR(MATCH(218,Tarifa!$O$13:$O$512,0),"")</f>
        <v/>
      </c>
    </row>
    <row r="229" ht="17" customHeight="1">
      <c r="A229" s="38">
        <f>IF($J229="","",IFERROR(IF(INDEX(Tarifa!$E$13:$E$512,$J229)&amp;""=INDEX(Tarifa!$E$13:$E$512,$J228)&amp;"","",INDEX(Tarifa!$E$13:$E$512,$J229)&amp;""),""))</f>
        <v/>
      </c>
      <c r="B229" s="39">
        <f>IF($J229="","",INDEX(Tarifa!$A$13:$A$512,$J229)&amp;"")</f>
        <v/>
      </c>
      <c r="C229" s="39">
        <f>IF($J229="","",INDEX(Tarifa!$B$13:$B$512,$J229)&amp;"")</f>
        <v/>
      </c>
      <c r="D229" s="39">
        <f>IF($J229="","",INDEX(Tarifa!$C$13:$C$512,$J229)&amp;"")</f>
        <v/>
      </c>
      <c r="E229" s="40">
        <f>IF($J229="","",IF(INDEX(Tarifa!$D$13:$D$512,$J229)="","",INDEX(Tarifa!$D$13:$D$512,$J229)))</f>
        <v/>
      </c>
      <c r="F229" s="41">
        <f>IF(OR($J229="",$J$1=""),"",IF(INDEX(Tarifa!$G$13:$G$512,$J229)="","",IF(NOT(ISNUMBER(INDEX(Tarifa!$G$13:$G$512,$J229))),"Revisa",IF($J$1=1,INDEX(Tarifa!$G$13:$G$512,$J229),ROUND(ROUND(INDEX(Tarifa!$G$13:$G$512,$J229)*(1+$J$2/100)/$J$3,0)*$J$3,2)))))</f>
        <v/>
      </c>
      <c r="G229" s="42">
        <f>IF(OR(NOT(ISNUMBER(F229)),N(E229)&lt;=1),"",ROUND(F229/E229,3))</f>
        <v/>
      </c>
      <c r="H229" s="43">
        <f>IF($J229="","",IF(INDEX(Tarifa!$H$13:$H$512,$J229)="","",INDEX(Tarifa!$H$13:$H$512,$J229)))</f>
        <v/>
      </c>
      <c r="I229" s="41">
        <f>IF(OR($M$3="No",$M$3="",NOT(ISNUMBER(F229))),"",IF(NOT(ISNUMBER(H229)),"Falta IVA",ROUND(F229*(1+(H229+IF($M$3="Con IVA y recargo",IF(H229=21,5.2,IF(H229=10,1.4,IF(H229=4,0.5,0))),0))/100),2)))</f>
        <v/>
      </c>
      <c r="J229">
        <f>IFERROR(MATCH(219,Tarifa!$O$13:$O$512,0),"")</f>
        <v/>
      </c>
    </row>
    <row r="230" ht="17" customHeight="1">
      <c r="A230" s="38">
        <f>IF($J230="","",IFERROR(IF(INDEX(Tarifa!$E$13:$E$512,$J230)&amp;""=INDEX(Tarifa!$E$13:$E$512,$J229)&amp;"","",INDEX(Tarifa!$E$13:$E$512,$J230)&amp;""),""))</f>
        <v/>
      </c>
      <c r="B230" s="39">
        <f>IF($J230="","",INDEX(Tarifa!$A$13:$A$512,$J230)&amp;"")</f>
        <v/>
      </c>
      <c r="C230" s="39">
        <f>IF($J230="","",INDEX(Tarifa!$B$13:$B$512,$J230)&amp;"")</f>
        <v/>
      </c>
      <c r="D230" s="39">
        <f>IF($J230="","",INDEX(Tarifa!$C$13:$C$512,$J230)&amp;"")</f>
        <v/>
      </c>
      <c r="E230" s="40">
        <f>IF($J230="","",IF(INDEX(Tarifa!$D$13:$D$512,$J230)="","",INDEX(Tarifa!$D$13:$D$512,$J230)))</f>
        <v/>
      </c>
      <c r="F230" s="41">
        <f>IF(OR($J230="",$J$1=""),"",IF(INDEX(Tarifa!$G$13:$G$512,$J230)="","",IF(NOT(ISNUMBER(INDEX(Tarifa!$G$13:$G$512,$J230))),"Revisa",IF($J$1=1,INDEX(Tarifa!$G$13:$G$512,$J230),ROUND(ROUND(INDEX(Tarifa!$G$13:$G$512,$J230)*(1+$J$2/100)/$J$3,0)*$J$3,2)))))</f>
        <v/>
      </c>
      <c r="G230" s="42">
        <f>IF(OR(NOT(ISNUMBER(F230)),N(E230)&lt;=1),"",ROUND(F230/E230,3))</f>
        <v/>
      </c>
      <c r="H230" s="43">
        <f>IF($J230="","",IF(INDEX(Tarifa!$H$13:$H$512,$J230)="","",INDEX(Tarifa!$H$13:$H$512,$J230)))</f>
        <v/>
      </c>
      <c r="I230" s="41">
        <f>IF(OR($M$3="No",$M$3="",NOT(ISNUMBER(F230))),"",IF(NOT(ISNUMBER(H230)),"Falta IVA",ROUND(F230*(1+(H230+IF($M$3="Con IVA y recargo",IF(H230=21,5.2,IF(H230=10,1.4,IF(H230=4,0.5,0))),0))/100),2)))</f>
        <v/>
      </c>
      <c r="J230">
        <f>IFERROR(MATCH(220,Tarifa!$O$13:$O$512,0),"")</f>
        <v/>
      </c>
    </row>
    <row r="231" ht="17" customHeight="1">
      <c r="A231" s="38">
        <f>IF($J231="","",IFERROR(IF(INDEX(Tarifa!$E$13:$E$512,$J231)&amp;""=INDEX(Tarifa!$E$13:$E$512,$J230)&amp;"","",INDEX(Tarifa!$E$13:$E$512,$J231)&amp;""),""))</f>
        <v/>
      </c>
      <c r="B231" s="39">
        <f>IF($J231="","",INDEX(Tarifa!$A$13:$A$512,$J231)&amp;"")</f>
        <v/>
      </c>
      <c r="C231" s="39">
        <f>IF($J231="","",INDEX(Tarifa!$B$13:$B$512,$J231)&amp;"")</f>
        <v/>
      </c>
      <c r="D231" s="39">
        <f>IF($J231="","",INDEX(Tarifa!$C$13:$C$512,$J231)&amp;"")</f>
        <v/>
      </c>
      <c r="E231" s="40">
        <f>IF($J231="","",IF(INDEX(Tarifa!$D$13:$D$512,$J231)="","",INDEX(Tarifa!$D$13:$D$512,$J231)))</f>
        <v/>
      </c>
      <c r="F231" s="41">
        <f>IF(OR($J231="",$J$1=""),"",IF(INDEX(Tarifa!$G$13:$G$512,$J231)="","",IF(NOT(ISNUMBER(INDEX(Tarifa!$G$13:$G$512,$J231))),"Revisa",IF($J$1=1,INDEX(Tarifa!$G$13:$G$512,$J231),ROUND(ROUND(INDEX(Tarifa!$G$13:$G$512,$J231)*(1+$J$2/100)/$J$3,0)*$J$3,2)))))</f>
        <v/>
      </c>
      <c r="G231" s="42">
        <f>IF(OR(NOT(ISNUMBER(F231)),N(E231)&lt;=1),"",ROUND(F231/E231,3))</f>
        <v/>
      </c>
      <c r="H231" s="43">
        <f>IF($J231="","",IF(INDEX(Tarifa!$H$13:$H$512,$J231)="","",INDEX(Tarifa!$H$13:$H$512,$J231)))</f>
        <v/>
      </c>
      <c r="I231" s="41">
        <f>IF(OR($M$3="No",$M$3="",NOT(ISNUMBER(F231))),"",IF(NOT(ISNUMBER(H231)),"Falta IVA",ROUND(F231*(1+(H231+IF($M$3="Con IVA y recargo",IF(H231=21,5.2,IF(H231=10,1.4,IF(H231=4,0.5,0))),0))/100),2)))</f>
        <v/>
      </c>
      <c r="J231">
        <f>IFERROR(MATCH(221,Tarifa!$O$13:$O$512,0),"")</f>
        <v/>
      </c>
    </row>
    <row r="232" ht="17" customHeight="1">
      <c r="A232" s="38">
        <f>IF($J232="","",IFERROR(IF(INDEX(Tarifa!$E$13:$E$512,$J232)&amp;""=INDEX(Tarifa!$E$13:$E$512,$J231)&amp;"","",INDEX(Tarifa!$E$13:$E$512,$J232)&amp;""),""))</f>
        <v/>
      </c>
      <c r="B232" s="39">
        <f>IF($J232="","",INDEX(Tarifa!$A$13:$A$512,$J232)&amp;"")</f>
        <v/>
      </c>
      <c r="C232" s="39">
        <f>IF($J232="","",INDEX(Tarifa!$B$13:$B$512,$J232)&amp;"")</f>
        <v/>
      </c>
      <c r="D232" s="39">
        <f>IF($J232="","",INDEX(Tarifa!$C$13:$C$512,$J232)&amp;"")</f>
        <v/>
      </c>
      <c r="E232" s="40">
        <f>IF($J232="","",IF(INDEX(Tarifa!$D$13:$D$512,$J232)="","",INDEX(Tarifa!$D$13:$D$512,$J232)))</f>
        <v/>
      </c>
      <c r="F232" s="41">
        <f>IF(OR($J232="",$J$1=""),"",IF(INDEX(Tarifa!$G$13:$G$512,$J232)="","",IF(NOT(ISNUMBER(INDEX(Tarifa!$G$13:$G$512,$J232))),"Revisa",IF($J$1=1,INDEX(Tarifa!$G$13:$G$512,$J232),ROUND(ROUND(INDEX(Tarifa!$G$13:$G$512,$J232)*(1+$J$2/100)/$J$3,0)*$J$3,2)))))</f>
        <v/>
      </c>
      <c r="G232" s="42">
        <f>IF(OR(NOT(ISNUMBER(F232)),N(E232)&lt;=1),"",ROUND(F232/E232,3))</f>
        <v/>
      </c>
      <c r="H232" s="43">
        <f>IF($J232="","",IF(INDEX(Tarifa!$H$13:$H$512,$J232)="","",INDEX(Tarifa!$H$13:$H$512,$J232)))</f>
        <v/>
      </c>
      <c r="I232" s="41">
        <f>IF(OR($M$3="No",$M$3="",NOT(ISNUMBER(F232))),"",IF(NOT(ISNUMBER(H232)),"Falta IVA",ROUND(F232*(1+(H232+IF($M$3="Con IVA y recargo",IF(H232=21,5.2,IF(H232=10,1.4,IF(H232=4,0.5,0))),0))/100),2)))</f>
        <v/>
      </c>
      <c r="J232">
        <f>IFERROR(MATCH(222,Tarifa!$O$13:$O$512,0),"")</f>
        <v/>
      </c>
    </row>
    <row r="233" ht="17" customHeight="1">
      <c r="A233" s="38">
        <f>IF($J233="","",IFERROR(IF(INDEX(Tarifa!$E$13:$E$512,$J233)&amp;""=INDEX(Tarifa!$E$13:$E$512,$J232)&amp;"","",INDEX(Tarifa!$E$13:$E$512,$J233)&amp;""),""))</f>
        <v/>
      </c>
      <c r="B233" s="39">
        <f>IF($J233="","",INDEX(Tarifa!$A$13:$A$512,$J233)&amp;"")</f>
        <v/>
      </c>
      <c r="C233" s="39">
        <f>IF($J233="","",INDEX(Tarifa!$B$13:$B$512,$J233)&amp;"")</f>
        <v/>
      </c>
      <c r="D233" s="39">
        <f>IF($J233="","",INDEX(Tarifa!$C$13:$C$512,$J233)&amp;"")</f>
        <v/>
      </c>
      <c r="E233" s="40">
        <f>IF($J233="","",IF(INDEX(Tarifa!$D$13:$D$512,$J233)="","",INDEX(Tarifa!$D$13:$D$512,$J233)))</f>
        <v/>
      </c>
      <c r="F233" s="41">
        <f>IF(OR($J233="",$J$1=""),"",IF(INDEX(Tarifa!$G$13:$G$512,$J233)="","",IF(NOT(ISNUMBER(INDEX(Tarifa!$G$13:$G$512,$J233))),"Revisa",IF($J$1=1,INDEX(Tarifa!$G$13:$G$512,$J233),ROUND(ROUND(INDEX(Tarifa!$G$13:$G$512,$J233)*(1+$J$2/100)/$J$3,0)*$J$3,2)))))</f>
        <v/>
      </c>
      <c r="G233" s="42">
        <f>IF(OR(NOT(ISNUMBER(F233)),N(E233)&lt;=1),"",ROUND(F233/E233,3))</f>
        <v/>
      </c>
      <c r="H233" s="43">
        <f>IF($J233="","",IF(INDEX(Tarifa!$H$13:$H$512,$J233)="","",INDEX(Tarifa!$H$13:$H$512,$J233)))</f>
        <v/>
      </c>
      <c r="I233" s="41">
        <f>IF(OR($M$3="No",$M$3="",NOT(ISNUMBER(F233))),"",IF(NOT(ISNUMBER(H233)),"Falta IVA",ROUND(F233*(1+(H233+IF($M$3="Con IVA y recargo",IF(H233=21,5.2,IF(H233=10,1.4,IF(H233=4,0.5,0))),0))/100),2)))</f>
        <v/>
      </c>
      <c r="J233">
        <f>IFERROR(MATCH(223,Tarifa!$O$13:$O$512,0),"")</f>
        <v/>
      </c>
    </row>
    <row r="234" ht="17" customHeight="1">
      <c r="A234" s="38">
        <f>IF($J234="","",IFERROR(IF(INDEX(Tarifa!$E$13:$E$512,$J234)&amp;""=INDEX(Tarifa!$E$13:$E$512,$J233)&amp;"","",INDEX(Tarifa!$E$13:$E$512,$J234)&amp;""),""))</f>
        <v/>
      </c>
      <c r="B234" s="39">
        <f>IF($J234="","",INDEX(Tarifa!$A$13:$A$512,$J234)&amp;"")</f>
        <v/>
      </c>
      <c r="C234" s="39">
        <f>IF($J234="","",INDEX(Tarifa!$B$13:$B$512,$J234)&amp;"")</f>
        <v/>
      </c>
      <c r="D234" s="39">
        <f>IF($J234="","",INDEX(Tarifa!$C$13:$C$512,$J234)&amp;"")</f>
        <v/>
      </c>
      <c r="E234" s="40">
        <f>IF($J234="","",IF(INDEX(Tarifa!$D$13:$D$512,$J234)="","",INDEX(Tarifa!$D$13:$D$512,$J234)))</f>
        <v/>
      </c>
      <c r="F234" s="41">
        <f>IF(OR($J234="",$J$1=""),"",IF(INDEX(Tarifa!$G$13:$G$512,$J234)="","",IF(NOT(ISNUMBER(INDEX(Tarifa!$G$13:$G$512,$J234))),"Revisa",IF($J$1=1,INDEX(Tarifa!$G$13:$G$512,$J234),ROUND(ROUND(INDEX(Tarifa!$G$13:$G$512,$J234)*(1+$J$2/100)/$J$3,0)*$J$3,2)))))</f>
        <v/>
      </c>
      <c r="G234" s="42">
        <f>IF(OR(NOT(ISNUMBER(F234)),N(E234)&lt;=1),"",ROUND(F234/E234,3))</f>
        <v/>
      </c>
      <c r="H234" s="43">
        <f>IF($J234="","",IF(INDEX(Tarifa!$H$13:$H$512,$J234)="","",INDEX(Tarifa!$H$13:$H$512,$J234)))</f>
        <v/>
      </c>
      <c r="I234" s="41">
        <f>IF(OR($M$3="No",$M$3="",NOT(ISNUMBER(F234))),"",IF(NOT(ISNUMBER(H234)),"Falta IVA",ROUND(F234*(1+(H234+IF($M$3="Con IVA y recargo",IF(H234=21,5.2,IF(H234=10,1.4,IF(H234=4,0.5,0))),0))/100),2)))</f>
        <v/>
      </c>
      <c r="J234">
        <f>IFERROR(MATCH(224,Tarifa!$O$13:$O$512,0),"")</f>
        <v/>
      </c>
    </row>
    <row r="235" ht="17" customHeight="1">
      <c r="A235" s="38">
        <f>IF($J235="","",IFERROR(IF(INDEX(Tarifa!$E$13:$E$512,$J235)&amp;""=INDEX(Tarifa!$E$13:$E$512,$J234)&amp;"","",INDEX(Tarifa!$E$13:$E$512,$J235)&amp;""),""))</f>
        <v/>
      </c>
      <c r="B235" s="39">
        <f>IF($J235="","",INDEX(Tarifa!$A$13:$A$512,$J235)&amp;"")</f>
        <v/>
      </c>
      <c r="C235" s="39">
        <f>IF($J235="","",INDEX(Tarifa!$B$13:$B$512,$J235)&amp;"")</f>
        <v/>
      </c>
      <c r="D235" s="39">
        <f>IF($J235="","",INDEX(Tarifa!$C$13:$C$512,$J235)&amp;"")</f>
        <v/>
      </c>
      <c r="E235" s="40">
        <f>IF($J235="","",IF(INDEX(Tarifa!$D$13:$D$512,$J235)="","",INDEX(Tarifa!$D$13:$D$512,$J235)))</f>
        <v/>
      </c>
      <c r="F235" s="41">
        <f>IF(OR($J235="",$J$1=""),"",IF(INDEX(Tarifa!$G$13:$G$512,$J235)="","",IF(NOT(ISNUMBER(INDEX(Tarifa!$G$13:$G$512,$J235))),"Revisa",IF($J$1=1,INDEX(Tarifa!$G$13:$G$512,$J235),ROUND(ROUND(INDEX(Tarifa!$G$13:$G$512,$J235)*(1+$J$2/100)/$J$3,0)*$J$3,2)))))</f>
        <v/>
      </c>
      <c r="G235" s="42">
        <f>IF(OR(NOT(ISNUMBER(F235)),N(E235)&lt;=1),"",ROUND(F235/E235,3))</f>
        <v/>
      </c>
      <c r="H235" s="43">
        <f>IF($J235="","",IF(INDEX(Tarifa!$H$13:$H$512,$J235)="","",INDEX(Tarifa!$H$13:$H$512,$J235)))</f>
        <v/>
      </c>
      <c r="I235" s="41">
        <f>IF(OR($M$3="No",$M$3="",NOT(ISNUMBER(F235))),"",IF(NOT(ISNUMBER(H235)),"Falta IVA",ROUND(F235*(1+(H235+IF($M$3="Con IVA y recargo",IF(H235=21,5.2,IF(H235=10,1.4,IF(H235=4,0.5,0))),0))/100),2)))</f>
        <v/>
      </c>
      <c r="J235">
        <f>IFERROR(MATCH(225,Tarifa!$O$13:$O$512,0),"")</f>
        <v/>
      </c>
    </row>
    <row r="236" ht="17" customHeight="1">
      <c r="A236" s="38">
        <f>IF($J236="","",IFERROR(IF(INDEX(Tarifa!$E$13:$E$512,$J236)&amp;""=INDEX(Tarifa!$E$13:$E$512,$J235)&amp;"","",INDEX(Tarifa!$E$13:$E$512,$J236)&amp;""),""))</f>
        <v/>
      </c>
      <c r="B236" s="39">
        <f>IF($J236="","",INDEX(Tarifa!$A$13:$A$512,$J236)&amp;"")</f>
        <v/>
      </c>
      <c r="C236" s="39">
        <f>IF($J236="","",INDEX(Tarifa!$B$13:$B$512,$J236)&amp;"")</f>
        <v/>
      </c>
      <c r="D236" s="39">
        <f>IF($J236="","",INDEX(Tarifa!$C$13:$C$512,$J236)&amp;"")</f>
        <v/>
      </c>
      <c r="E236" s="40">
        <f>IF($J236="","",IF(INDEX(Tarifa!$D$13:$D$512,$J236)="","",INDEX(Tarifa!$D$13:$D$512,$J236)))</f>
        <v/>
      </c>
      <c r="F236" s="41">
        <f>IF(OR($J236="",$J$1=""),"",IF(INDEX(Tarifa!$G$13:$G$512,$J236)="","",IF(NOT(ISNUMBER(INDEX(Tarifa!$G$13:$G$512,$J236))),"Revisa",IF($J$1=1,INDEX(Tarifa!$G$13:$G$512,$J236),ROUND(ROUND(INDEX(Tarifa!$G$13:$G$512,$J236)*(1+$J$2/100)/$J$3,0)*$J$3,2)))))</f>
        <v/>
      </c>
      <c r="G236" s="42">
        <f>IF(OR(NOT(ISNUMBER(F236)),N(E236)&lt;=1),"",ROUND(F236/E236,3))</f>
        <v/>
      </c>
      <c r="H236" s="43">
        <f>IF($J236="","",IF(INDEX(Tarifa!$H$13:$H$512,$J236)="","",INDEX(Tarifa!$H$13:$H$512,$J236)))</f>
        <v/>
      </c>
      <c r="I236" s="41">
        <f>IF(OR($M$3="No",$M$3="",NOT(ISNUMBER(F236))),"",IF(NOT(ISNUMBER(H236)),"Falta IVA",ROUND(F236*(1+(H236+IF($M$3="Con IVA y recargo",IF(H236=21,5.2,IF(H236=10,1.4,IF(H236=4,0.5,0))),0))/100),2)))</f>
        <v/>
      </c>
      <c r="J236">
        <f>IFERROR(MATCH(226,Tarifa!$O$13:$O$512,0),"")</f>
        <v/>
      </c>
    </row>
    <row r="237" ht="17" customHeight="1">
      <c r="A237" s="38">
        <f>IF($J237="","",IFERROR(IF(INDEX(Tarifa!$E$13:$E$512,$J237)&amp;""=INDEX(Tarifa!$E$13:$E$512,$J236)&amp;"","",INDEX(Tarifa!$E$13:$E$512,$J237)&amp;""),""))</f>
        <v/>
      </c>
      <c r="B237" s="39">
        <f>IF($J237="","",INDEX(Tarifa!$A$13:$A$512,$J237)&amp;"")</f>
        <v/>
      </c>
      <c r="C237" s="39">
        <f>IF($J237="","",INDEX(Tarifa!$B$13:$B$512,$J237)&amp;"")</f>
        <v/>
      </c>
      <c r="D237" s="39">
        <f>IF($J237="","",INDEX(Tarifa!$C$13:$C$512,$J237)&amp;"")</f>
        <v/>
      </c>
      <c r="E237" s="40">
        <f>IF($J237="","",IF(INDEX(Tarifa!$D$13:$D$512,$J237)="","",INDEX(Tarifa!$D$13:$D$512,$J237)))</f>
        <v/>
      </c>
      <c r="F237" s="41">
        <f>IF(OR($J237="",$J$1=""),"",IF(INDEX(Tarifa!$G$13:$G$512,$J237)="","",IF(NOT(ISNUMBER(INDEX(Tarifa!$G$13:$G$512,$J237))),"Revisa",IF($J$1=1,INDEX(Tarifa!$G$13:$G$512,$J237),ROUND(ROUND(INDEX(Tarifa!$G$13:$G$512,$J237)*(1+$J$2/100)/$J$3,0)*$J$3,2)))))</f>
        <v/>
      </c>
      <c r="G237" s="42">
        <f>IF(OR(NOT(ISNUMBER(F237)),N(E237)&lt;=1),"",ROUND(F237/E237,3))</f>
        <v/>
      </c>
      <c r="H237" s="43">
        <f>IF($J237="","",IF(INDEX(Tarifa!$H$13:$H$512,$J237)="","",INDEX(Tarifa!$H$13:$H$512,$J237)))</f>
        <v/>
      </c>
      <c r="I237" s="41">
        <f>IF(OR($M$3="No",$M$3="",NOT(ISNUMBER(F237))),"",IF(NOT(ISNUMBER(H237)),"Falta IVA",ROUND(F237*(1+(H237+IF($M$3="Con IVA y recargo",IF(H237=21,5.2,IF(H237=10,1.4,IF(H237=4,0.5,0))),0))/100),2)))</f>
        <v/>
      </c>
      <c r="J237">
        <f>IFERROR(MATCH(227,Tarifa!$O$13:$O$512,0),"")</f>
        <v/>
      </c>
    </row>
    <row r="238" ht="17" customHeight="1">
      <c r="A238" s="38">
        <f>IF($J238="","",IFERROR(IF(INDEX(Tarifa!$E$13:$E$512,$J238)&amp;""=INDEX(Tarifa!$E$13:$E$512,$J237)&amp;"","",INDEX(Tarifa!$E$13:$E$512,$J238)&amp;""),""))</f>
        <v/>
      </c>
      <c r="B238" s="39">
        <f>IF($J238="","",INDEX(Tarifa!$A$13:$A$512,$J238)&amp;"")</f>
        <v/>
      </c>
      <c r="C238" s="39">
        <f>IF($J238="","",INDEX(Tarifa!$B$13:$B$512,$J238)&amp;"")</f>
        <v/>
      </c>
      <c r="D238" s="39">
        <f>IF($J238="","",INDEX(Tarifa!$C$13:$C$512,$J238)&amp;"")</f>
        <v/>
      </c>
      <c r="E238" s="40">
        <f>IF($J238="","",IF(INDEX(Tarifa!$D$13:$D$512,$J238)="","",INDEX(Tarifa!$D$13:$D$512,$J238)))</f>
        <v/>
      </c>
      <c r="F238" s="41">
        <f>IF(OR($J238="",$J$1=""),"",IF(INDEX(Tarifa!$G$13:$G$512,$J238)="","",IF(NOT(ISNUMBER(INDEX(Tarifa!$G$13:$G$512,$J238))),"Revisa",IF($J$1=1,INDEX(Tarifa!$G$13:$G$512,$J238),ROUND(ROUND(INDEX(Tarifa!$G$13:$G$512,$J238)*(1+$J$2/100)/$J$3,0)*$J$3,2)))))</f>
        <v/>
      </c>
      <c r="G238" s="42">
        <f>IF(OR(NOT(ISNUMBER(F238)),N(E238)&lt;=1),"",ROUND(F238/E238,3))</f>
        <v/>
      </c>
      <c r="H238" s="43">
        <f>IF($J238="","",IF(INDEX(Tarifa!$H$13:$H$512,$J238)="","",INDEX(Tarifa!$H$13:$H$512,$J238)))</f>
        <v/>
      </c>
      <c r="I238" s="41">
        <f>IF(OR($M$3="No",$M$3="",NOT(ISNUMBER(F238))),"",IF(NOT(ISNUMBER(H238)),"Falta IVA",ROUND(F238*(1+(H238+IF($M$3="Con IVA y recargo",IF(H238=21,5.2,IF(H238=10,1.4,IF(H238=4,0.5,0))),0))/100),2)))</f>
        <v/>
      </c>
      <c r="J238">
        <f>IFERROR(MATCH(228,Tarifa!$O$13:$O$512,0),"")</f>
        <v/>
      </c>
    </row>
    <row r="239" ht="17" customHeight="1">
      <c r="A239" s="38">
        <f>IF($J239="","",IFERROR(IF(INDEX(Tarifa!$E$13:$E$512,$J239)&amp;""=INDEX(Tarifa!$E$13:$E$512,$J238)&amp;"","",INDEX(Tarifa!$E$13:$E$512,$J239)&amp;""),""))</f>
        <v/>
      </c>
      <c r="B239" s="39">
        <f>IF($J239="","",INDEX(Tarifa!$A$13:$A$512,$J239)&amp;"")</f>
        <v/>
      </c>
      <c r="C239" s="39">
        <f>IF($J239="","",INDEX(Tarifa!$B$13:$B$512,$J239)&amp;"")</f>
        <v/>
      </c>
      <c r="D239" s="39">
        <f>IF($J239="","",INDEX(Tarifa!$C$13:$C$512,$J239)&amp;"")</f>
        <v/>
      </c>
      <c r="E239" s="40">
        <f>IF($J239="","",IF(INDEX(Tarifa!$D$13:$D$512,$J239)="","",INDEX(Tarifa!$D$13:$D$512,$J239)))</f>
        <v/>
      </c>
      <c r="F239" s="41">
        <f>IF(OR($J239="",$J$1=""),"",IF(INDEX(Tarifa!$G$13:$G$512,$J239)="","",IF(NOT(ISNUMBER(INDEX(Tarifa!$G$13:$G$512,$J239))),"Revisa",IF($J$1=1,INDEX(Tarifa!$G$13:$G$512,$J239),ROUND(ROUND(INDEX(Tarifa!$G$13:$G$512,$J239)*(1+$J$2/100)/$J$3,0)*$J$3,2)))))</f>
        <v/>
      </c>
      <c r="G239" s="42">
        <f>IF(OR(NOT(ISNUMBER(F239)),N(E239)&lt;=1),"",ROUND(F239/E239,3))</f>
        <v/>
      </c>
      <c r="H239" s="43">
        <f>IF($J239="","",IF(INDEX(Tarifa!$H$13:$H$512,$J239)="","",INDEX(Tarifa!$H$13:$H$512,$J239)))</f>
        <v/>
      </c>
      <c r="I239" s="41">
        <f>IF(OR($M$3="No",$M$3="",NOT(ISNUMBER(F239))),"",IF(NOT(ISNUMBER(H239)),"Falta IVA",ROUND(F239*(1+(H239+IF($M$3="Con IVA y recargo",IF(H239=21,5.2,IF(H239=10,1.4,IF(H239=4,0.5,0))),0))/100),2)))</f>
        <v/>
      </c>
      <c r="J239">
        <f>IFERROR(MATCH(229,Tarifa!$O$13:$O$512,0),"")</f>
        <v/>
      </c>
    </row>
    <row r="240" ht="17" customHeight="1">
      <c r="A240" s="38">
        <f>IF($J240="","",IFERROR(IF(INDEX(Tarifa!$E$13:$E$512,$J240)&amp;""=INDEX(Tarifa!$E$13:$E$512,$J239)&amp;"","",INDEX(Tarifa!$E$13:$E$512,$J240)&amp;""),""))</f>
        <v/>
      </c>
      <c r="B240" s="39">
        <f>IF($J240="","",INDEX(Tarifa!$A$13:$A$512,$J240)&amp;"")</f>
        <v/>
      </c>
      <c r="C240" s="39">
        <f>IF($J240="","",INDEX(Tarifa!$B$13:$B$512,$J240)&amp;"")</f>
        <v/>
      </c>
      <c r="D240" s="39">
        <f>IF($J240="","",INDEX(Tarifa!$C$13:$C$512,$J240)&amp;"")</f>
        <v/>
      </c>
      <c r="E240" s="40">
        <f>IF($J240="","",IF(INDEX(Tarifa!$D$13:$D$512,$J240)="","",INDEX(Tarifa!$D$13:$D$512,$J240)))</f>
        <v/>
      </c>
      <c r="F240" s="41">
        <f>IF(OR($J240="",$J$1=""),"",IF(INDEX(Tarifa!$G$13:$G$512,$J240)="","",IF(NOT(ISNUMBER(INDEX(Tarifa!$G$13:$G$512,$J240))),"Revisa",IF($J$1=1,INDEX(Tarifa!$G$13:$G$512,$J240),ROUND(ROUND(INDEX(Tarifa!$G$13:$G$512,$J240)*(1+$J$2/100)/$J$3,0)*$J$3,2)))))</f>
        <v/>
      </c>
      <c r="G240" s="42">
        <f>IF(OR(NOT(ISNUMBER(F240)),N(E240)&lt;=1),"",ROUND(F240/E240,3))</f>
        <v/>
      </c>
      <c r="H240" s="43">
        <f>IF($J240="","",IF(INDEX(Tarifa!$H$13:$H$512,$J240)="","",INDEX(Tarifa!$H$13:$H$512,$J240)))</f>
        <v/>
      </c>
      <c r="I240" s="41">
        <f>IF(OR($M$3="No",$M$3="",NOT(ISNUMBER(F240))),"",IF(NOT(ISNUMBER(H240)),"Falta IVA",ROUND(F240*(1+(H240+IF($M$3="Con IVA y recargo",IF(H240=21,5.2,IF(H240=10,1.4,IF(H240=4,0.5,0))),0))/100),2)))</f>
        <v/>
      </c>
      <c r="J240">
        <f>IFERROR(MATCH(230,Tarifa!$O$13:$O$512,0),"")</f>
        <v/>
      </c>
    </row>
    <row r="241" ht="17" customHeight="1">
      <c r="A241" s="38">
        <f>IF($J241="","",IFERROR(IF(INDEX(Tarifa!$E$13:$E$512,$J241)&amp;""=INDEX(Tarifa!$E$13:$E$512,$J240)&amp;"","",INDEX(Tarifa!$E$13:$E$512,$J241)&amp;""),""))</f>
        <v/>
      </c>
      <c r="B241" s="39">
        <f>IF($J241="","",INDEX(Tarifa!$A$13:$A$512,$J241)&amp;"")</f>
        <v/>
      </c>
      <c r="C241" s="39">
        <f>IF($J241="","",INDEX(Tarifa!$B$13:$B$512,$J241)&amp;"")</f>
        <v/>
      </c>
      <c r="D241" s="39">
        <f>IF($J241="","",INDEX(Tarifa!$C$13:$C$512,$J241)&amp;"")</f>
        <v/>
      </c>
      <c r="E241" s="40">
        <f>IF($J241="","",IF(INDEX(Tarifa!$D$13:$D$512,$J241)="","",INDEX(Tarifa!$D$13:$D$512,$J241)))</f>
        <v/>
      </c>
      <c r="F241" s="41">
        <f>IF(OR($J241="",$J$1=""),"",IF(INDEX(Tarifa!$G$13:$G$512,$J241)="","",IF(NOT(ISNUMBER(INDEX(Tarifa!$G$13:$G$512,$J241))),"Revisa",IF($J$1=1,INDEX(Tarifa!$G$13:$G$512,$J241),ROUND(ROUND(INDEX(Tarifa!$G$13:$G$512,$J241)*(1+$J$2/100)/$J$3,0)*$J$3,2)))))</f>
        <v/>
      </c>
      <c r="G241" s="42">
        <f>IF(OR(NOT(ISNUMBER(F241)),N(E241)&lt;=1),"",ROUND(F241/E241,3))</f>
        <v/>
      </c>
      <c r="H241" s="43">
        <f>IF($J241="","",IF(INDEX(Tarifa!$H$13:$H$512,$J241)="","",INDEX(Tarifa!$H$13:$H$512,$J241)))</f>
        <v/>
      </c>
      <c r="I241" s="41">
        <f>IF(OR($M$3="No",$M$3="",NOT(ISNUMBER(F241))),"",IF(NOT(ISNUMBER(H241)),"Falta IVA",ROUND(F241*(1+(H241+IF($M$3="Con IVA y recargo",IF(H241=21,5.2,IF(H241=10,1.4,IF(H241=4,0.5,0))),0))/100),2)))</f>
        <v/>
      </c>
      <c r="J241">
        <f>IFERROR(MATCH(231,Tarifa!$O$13:$O$512,0),"")</f>
        <v/>
      </c>
    </row>
    <row r="242" ht="17" customHeight="1">
      <c r="A242" s="38">
        <f>IF($J242="","",IFERROR(IF(INDEX(Tarifa!$E$13:$E$512,$J242)&amp;""=INDEX(Tarifa!$E$13:$E$512,$J241)&amp;"","",INDEX(Tarifa!$E$13:$E$512,$J242)&amp;""),""))</f>
        <v/>
      </c>
      <c r="B242" s="39">
        <f>IF($J242="","",INDEX(Tarifa!$A$13:$A$512,$J242)&amp;"")</f>
        <v/>
      </c>
      <c r="C242" s="39">
        <f>IF($J242="","",INDEX(Tarifa!$B$13:$B$512,$J242)&amp;"")</f>
        <v/>
      </c>
      <c r="D242" s="39">
        <f>IF($J242="","",INDEX(Tarifa!$C$13:$C$512,$J242)&amp;"")</f>
        <v/>
      </c>
      <c r="E242" s="40">
        <f>IF($J242="","",IF(INDEX(Tarifa!$D$13:$D$512,$J242)="","",INDEX(Tarifa!$D$13:$D$512,$J242)))</f>
        <v/>
      </c>
      <c r="F242" s="41">
        <f>IF(OR($J242="",$J$1=""),"",IF(INDEX(Tarifa!$G$13:$G$512,$J242)="","",IF(NOT(ISNUMBER(INDEX(Tarifa!$G$13:$G$512,$J242))),"Revisa",IF($J$1=1,INDEX(Tarifa!$G$13:$G$512,$J242),ROUND(ROUND(INDEX(Tarifa!$G$13:$G$512,$J242)*(1+$J$2/100)/$J$3,0)*$J$3,2)))))</f>
        <v/>
      </c>
      <c r="G242" s="42">
        <f>IF(OR(NOT(ISNUMBER(F242)),N(E242)&lt;=1),"",ROUND(F242/E242,3))</f>
        <v/>
      </c>
      <c r="H242" s="43">
        <f>IF($J242="","",IF(INDEX(Tarifa!$H$13:$H$512,$J242)="","",INDEX(Tarifa!$H$13:$H$512,$J242)))</f>
        <v/>
      </c>
      <c r="I242" s="41">
        <f>IF(OR($M$3="No",$M$3="",NOT(ISNUMBER(F242))),"",IF(NOT(ISNUMBER(H242)),"Falta IVA",ROUND(F242*(1+(H242+IF($M$3="Con IVA y recargo",IF(H242=21,5.2,IF(H242=10,1.4,IF(H242=4,0.5,0))),0))/100),2)))</f>
        <v/>
      </c>
      <c r="J242">
        <f>IFERROR(MATCH(232,Tarifa!$O$13:$O$512,0),"")</f>
        <v/>
      </c>
    </row>
    <row r="243" ht="17" customHeight="1">
      <c r="A243" s="38">
        <f>IF($J243="","",IFERROR(IF(INDEX(Tarifa!$E$13:$E$512,$J243)&amp;""=INDEX(Tarifa!$E$13:$E$512,$J242)&amp;"","",INDEX(Tarifa!$E$13:$E$512,$J243)&amp;""),""))</f>
        <v/>
      </c>
      <c r="B243" s="39">
        <f>IF($J243="","",INDEX(Tarifa!$A$13:$A$512,$J243)&amp;"")</f>
        <v/>
      </c>
      <c r="C243" s="39">
        <f>IF($J243="","",INDEX(Tarifa!$B$13:$B$512,$J243)&amp;"")</f>
        <v/>
      </c>
      <c r="D243" s="39">
        <f>IF($J243="","",INDEX(Tarifa!$C$13:$C$512,$J243)&amp;"")</f>
        <v/>
      </c>
      <c r="E243" s="40">
        <f>IF($J243="","",IF(INDEX(Tarifa!$D$13:$D$512,$J243)="","",INDEX(Tarifa!$D$13:$D$512,$J243)))</f>
        <v/>
      </c>
      <c r="F243" s="41">
        <f>IF(OR($J243="",$J$1=""),"",IF(INDEX(Tarifa!$G$13:$G$512,$J243)="","",IF(NOT(ISNUMBER(INDEX(Tarifa!$G$13:$G$512,$J243))),"Revisa",IF($J$1=1,INDEX(Tarifa!$G$13:$G$512,$J243),ROUND(ROUND(INDEX(Tarifa!$G$13:$G$512,$J243)*(1+$J$2/100)/$J$3,0)*$J$3,2)))))</f>
        <v/>
      </c>
      <c r="G243" s="42">
        <f>IF(OR(NOT(ISNUMBER(F243)),N(E243)&lt;=1),"",ROUND(F243/E243,3))</f>
        <v/>
      </c>
      <c r="H243" s="43">
        <f>IF($J243="","",IF(INDEX(Tarifa!$H$13:$H$512,$J243)="","",INDEX(Tarifa!$H$13:$H$512,$J243)))</f>
        <v/>
      </c>
      <c r="I243" s="41">
        <f>IF(OR($M$3="No",$M$3="",NOT(ISNUMBER(F243))),"",IF(NOT(ISNUMBER(H243)),"Falta IVA",ROUND(F243*(1+(H243+IF($M$3="Con IVA y recargo",IF(H243=21,5.2,IF(H243=10,1.4,IF(H243=4,0.5,0))),0))/100),2)))</f>
        <v/>
      </c>
      <c r="J243">
        <f>IFERROR(MATCH(233,Tarifa!$O$13:$O$512,0),"")</f>
        <v/>
      </c>
    </row>
    <row r="244" ht="17" customHeight="1">
      <c r="A244" s="38">
        <f>IF($J244="","",IFERROR(IF(INDEX(Tarifa!$E$13:$E$512,$J244)&amp;""=INDEX(Tarifa!$E$13:$E$512,$J243)&amp;"","",INDEX(Tarifa!$E$13:$E$512,$J244)&amp;""),""))</f>
        <v/>
      </c>
      <c r="B244" s="39">
        <f>IF($J244="","",INDEX(Tarifa!$A$13:$A$512,$J244)&amp;"")</f>
        <v/>
      </c>
      <c r="C244" s="39">
        <f>IF($J244="","",INDEX(Tarifa!$B$13:$B$512,$J244)&amp;"")</f>
        <v/>
      </c>
      <c r="D244" s="39">
        <f>IF($J244="","",INDEX(Tarifa!$C$13:$C$512,$J244)&amp;"")</f>
        <v/>
      </c>
      <c r="E244" s="40">
        <f>IF($J244="","",IF(INDEX(Tarifa!$D$13:$D$512,$J244)="","",INDEX(Tarifa!$D$13:$D$512,$J244)))</f>
        <v/>
      </c>
      <c r="F244" s="41">
        <f>IF(OR($J244="",$J$1=""),"",IF(INDEX(Tarifa!$G$13:$G$512,$J244)="","",IF(NOT(ISNUMBER(INDEX(Tarifa!$G$13:$G$512,$J244))),"Revisa",IF($J$1=1,INDEX(Tarifa!$G$13:$G$512,$J244),ROUND(ROUND(INDEX(Tarifa!$G$13:$G$512,$J244)*(1+$J$2/100)/$J$3,0)*$J$3,2)))))</f>
        <v/>
      </c>
      <c r="G244" s="42">
        <f>IF(OR(NOT(ISNUMBER(F244)),N(E244)&lt;=1),"",ROUND(F244/E244,3))</f>
        <v/>
      </c>
      <c r="H244" s="43">
        <f>IF($J244="","",IF(INDEX(Tarifa!$H$13:$H$512,$J244)="","",INDEX(Tarifa!$H$13:$H$512,$J244)))</f>
        <v/>
      </c>
      <c r="I244" s="41">
        <f>IF(OR($M$3="No",$M$3="",NOT(ISNUMBER(F244))),"",IF(NOT(ISNUMBER(H244)),"Falta IVA",ROUND(F244*(1+(H244+IF($M$3="Con IVA y recargo",IF(H244=21,5.2,IF(H244=10,1.4,IF(H244=4,0.5,0))),0))/100),2)))</f>
        <v/>
      </c>
      <c r="J244">
        <f>IFERROR(MATCH(234,Tarifa!$O$13:$O$512,0),"")</f>
        <v/>
      </c>
    </row>
    <row r="245" ht="17" customHeight="1">
      <c r="A245" s="38">
        <f>IF($J245="","",IFERROR(IF(INDEX(Tarifa!$E$13:$E$512,$J245)&amp;""=INDEX(Tarifa!$E$13:$E$512,$J244)&amp;"","",INDEX(Tarifa!$E$13:$E$512,$J245)&amp;""),""))</f>
        <v/>
      </c>
      <c r="B245" s="39">
        <f>IF($J245="","",INDEX(Tarifa!$A$13:$A$512,$J245)&amp;"")</f>
        <v/>
      </c>
      <c r="C245" s="39">
        <f>IF($J245="","",INDEX(Tarifa!$B$13:$B$512,$J245)&amp;"")</f>
        <v/>
      </c>
      <c r="D245" s="39">
        <f>IF($J245="","",INDEX(Tarifa!$C$13:$C$512,$J245)&amp;"")</f>
        <v/>
      </c>
      <c r="E245" s="40">
        <f>IF($J245="","",IF(INDEX(Tarifa!$D$13:$D$512,$J245)="","",INDEX(Tarifa!$D$13:$D$512,$J245)))</f>
        <v/>
      </c>
      <c r="F245" s="41">
        <f>IF(OR($J245="",$J$1=""),"",IF(INDEX(Tarifa!$G$13:$G$512,$J245)="","",IF(NOT(ISNUMBER(INDEX(Tarifa!$G$13:$G$512,$J245))),"Revisa",IF($J$1=1,INDEX(Tarifa!$G$13:$G$512,$J245),ROUND(ROUND(INDEX(Tarifa!$G$13:$G$512,$J245)*(1+$J$2/100)/$J$3,0)*$J$3,2)))))</f>
        <v/>
      </c>
      <c r="G245" s="42">
        <f>IF(OR(NOT(ISNUMBER(F245)),N(E245)&lt;=1),"",ROUND(F245/E245,3))</f>
        <v/>
      </c>
      <c r="H245" s="43">
        <f>IF($J245="","",IF(INDEX(Tarifa!$H$13:$H$512,$J245)="","",INDEX(Tarifa!$H$13:$H$512,$J245)))</f>
        <v/>
      </c>
      <c r="I245" s="41">
        <f>IF(OR($M$3="No",$M$3="",NOT(ISNUMBER(F245))),"",IF(NOT(ISNUMBER(H245)),"Falta IVA",ROUND(F245*(1+(H245+IF($M$3="Con IVA y recargo",IF(H245=21,5.2,IF(H245=10,1.4,IF(H245=4,0.5,0))),0))/100),2)))</f>
        <v/>
      </c>
      <c r="J245">
        <f>IFERROR(MATCH(235,Tarifa!$O$13:$O$512,0),"")</f>
        <v/>
      </c>
    </row>
    <row r="246" ht="17" customHeight="1">
      <c r="A246" s="38">
        <f>IF($J246="","",IFERROR(IF(INDEX(Tarifa!$E$13:$E$512,$J246)&amp;""=INDEX(Tarifa!$E$13:$E$512,$J245)&amp;"","",INDEX(Tarifa!$E$13:$E$512,$J246)&amp;""),""))</f>
        <v/>
      </c>
      <c r="B246" s="39">
        <f>IF($J246="","",INDEX(Tarifa!$A$13:$A$512,$J246)&amp;"")</f>
        <v/>
      </c>
      <c r="C246" s="39">
        <f>IF($J246="","",INDEX(Tarifa!$B$13:$B$512,$J246)&amp;"")</f>
        <v/>
      </c>
      <c r="D246" s="39">
        <f>IF($J246="","",INDEX(Tarifa!$C$13:$C$512,$J246)&amp;"")</f>
        <v/>
      </c>
      <c r="E246" s="40">
        <f>IF($J246="","",IF(INDEX(Tarifa!$D$13:$D$512,$J246)="","",INDEX(Tarifa!$D$13:$D$512,$J246)))</f>
        <v/>
      </c>
      <c r="F246" s="41">
        <f>IF(OR($J246="",$J$1=""),"",IF(INDEX(Tarifa!$G$13:$G$512,$J246)="","",IF(NOT(ISNUMBER(INDEX(Tarifa!$G$13:$G$512,$J246))),"Revisa",IF($J$1=1,INDEX(Tarifa!$G$13:$G$512,$J246),ROUND(ROUND(INDEX(Tarifa!$G$13:$G$512,$J246)*(1+$J$2/100)/$J$3,0)*$J$3,2)))))</f>
        <v/>
      </c>
      <c r="G246" s="42">
        <f>IF(OR(NOT(ISNUMBER(F246)),N(E246)&lt;=1),"",ROUND(F246/E246,3))</f>
        <v/>
      </c>
      <c r="H246" s="43">
        <f>IF($J246="","",IF(INDEX(Tarifa!$H$13:$H$512,$J246)="","",INDEX(Tarifa!$H$13:$H$512,$J246)))</f>
        <v/>
      </c>
      <c r="I246" s="41">
        <f>IF(OR($M$3="No",$M$3="",NOT(ISNUMBER(F246))),"",IF(NOT(ISNUMBER(H246)),"Falta IVA",ROUND(F246*(1+(H246+IF($M$3="Con IVA y recargo",IF(H246=21,5.2,IF(H246=10,1.4,IF(H246=4,0.5,0))),0))/100),2)))</f>
        <v/>
      </c>
      <c r="J246">
        <f>IFERROR(MATCH(236,Tarifa!$O$13:$O$512,0),"")</f>
        <v/>
      </c>
    </row>
    <row r="247" ht="17" customHeight="1">
      <c r="A247" s="38">
        <f>IF($J247="","",IFERROR(IF(INDEX(Tarifa!$E$13:$E$512,$J247)&amp;""=INDEX(Tarifa!$E$13:$E$512,$J246)&amp;"","",INDEX(Tarifa!$E$13:$E$512,$J247)&amp;""),""))</f>
        <v/>
      </c>
      <c r="B247" s="39">
        <f>IF($J247="","",INDEX(Tarifa!$A$13:$A$512,$J247)&amp;"")</f>
        <v/>
      </c>
      <c r="C247" s="39">
        <f>IF($J247="","",INDEX(Tarifa!$B$13:$B$512,$J247)&amp;"")</f>
        <v/>
      </c>
      <c r="D247" s="39">
        <f>IF($J247="","",INDEX(Tarifa!$C$13:$C$512,$J247)&amp;"")</f>
        <v/>
      </c>
      <c r="E247" s="40">
        <f>IF($J247="","",IF(INDEX(Tarifa!$D$13:$D$512,$J247)="","",INDEX(Tarifa!$D$13:$D$512,$J247)))</f>
        <v/>
      </c>
      <c r="F247" s="41">
        <f>IF(OR($J247="",$J$1=""),"",IF(INDEX(Tarifa!$G$13:$G$512,$J247)="","",IF(NOT(ISNUMBER(INDEX(Tarifa!$G$13:$G$512,$J247))),"Revisa",IF($J$1=1,INDEX(Tarifa!$G$13:$G$512,$J247),ROUND(ROUND(INDEX(Tarifa!$G$13:$G$512,$J247)*(1+$J$2/100)/$J$3,0)*$J$3,2)))))</f>
        <v/>
      </c>
      <c r="G247" s="42">
        <f>IF(OR(NOT(ISNUMBER(F247)),N(E247)&lt;=1),"",ROUND(F247/E247,3))</f>
        <v/>
      </c>
      <c r="H247" s="43">
        <f>IF($J247="","",IF(INDEX(Tarifa!$H$13:$H$512,$J247)="","",INDEX(Tarifa!$H$13:$H$512,$J247)))</f>
        <v/>
      </c>
      <c r="I247" s="41">
        <f>IF(OR($M$3="No",$M$3="",NOT(ISNUMBER(F247))),"",IF(NOT(ISNUMBER(H247)),"Falta IVA",ROUND(F247*(1+(H247+IF($M$3="Con IVA y recargo",IF(H247=21,5.2,IF(H247=10,1.4,IF(H247=4,0.5,0))),0))/100),2)))</f>
        <v/>
      </c>
      <c r="J247">
        <f>IFERROR(MATCH(237,Tarifa!$O$13:$O$512,0),"")</f>
        <v/>
      </c>
    </row>
    <row r="248" ht="17" customHeight="1">
      <c r="A248" s="38">
        <f>IF($J248="","",IFERROR(IF(INDEX(Tarifa!$E$13:$E$512,$J248)&amp;""=INDEX(Tarifa!$E$13:$E$512,$J247)&amp;"","",INDEX(Tarifa!$E$13:$E$512,$J248)&amp;""),""))</f>
        <v/>
      </c>
      <c r="B248" s="39">
        <f>IF($J248="","",INDEX(Tarifa!$A$13:$A$512,$J248)&amp;"")</f>
        <v/>
      </c>
      <c r="C248" s="39">
        <f>IF($J248="","",INDEX(Tarifa!$B$13:$B$512,$J248)&amp;"")</f>
        <v/>
      </c>
      <c r="D248" s="39">
        <f>IF($J248="","",INDEX(Tarifa!$C$13:$C$512,$J248)&amp;"")</f>
        <v/>
      </c>
      <c r="E248" s="40">
        <f>IF($J248="","",IF(INDEX(Tarifa!$D$13:$D$512,$J248)="","",INDEX(Tarifa!$D$13:$D$512,$J248)))</f>
        <v/>
      </c>
      <c r="F248" s="41">
        <f>IF(OR($J248="",$J$1=""),"",IF(INDEX(Tarifa!$G$13:$G$512,$J248)="","",IF(NOT(ISNUMBER(INDEX(Tarifa!$G$13:$G$512,$J248))),"Revisa",IF($J$1=1,INDEX(Tarifa!$G$13:$G$512,$J248),ROUND(ROUND(INDEX(Tarifa!$G$13:$G$512,$J248)*(1+$J$2/100)/$J$3,0)*$J$3,2)))))</f>
        <v/>
      </c>
      <c r="G248" s="42">
        <f>IF(OR(NOT(ISNUMBER(F248)),N(E248)&lt;=1),"",ROUND(F248/E248,3))</f>
        <v/>
      </c>
      <c r="H248" s="43">
        <f>IF($J248="","",IF(INDEX(Tarifa!$H$13:$H$512,$J248)="","",INDEX(Tarifa!$H$13:$H$512,$J248)))</f>
        <v/>
      </c>
      <c r="I248" s="41">
        <f>IF(OR($M$3="No",$M$3="",NOT(ISNUMBER(F248))),"",IF(NOT(ISNUMBER(H248)),"Falta IVA",ROUND(F248*(1+(H248+IF($M$3="Con IVA y recargo",IF(H248=21,5.2,IF(H248=10,1.4,IF(H248=4,0.5,0))),0))/100),2)))</f>
        <v/>
      </c>
      <c r="J248">
        <f>IFERROR(MATCH(238,Tarifa!$O$13:$O$512,0),"")</f>
        <v/>
      </c>
    </row>
    <row r="249" ht="17" customHeight="1">
      <c r="A249" s="38">
        <f>IF($J249="","",IFERROR(IF(INDEX(Tarifa!$E$13:$E$512,$J249)&amp;""=INDEX(Tarifa!$E$13:$E$512,$J248)&amp;"","",INDEX(Tarifa!$E$13:$E$512,$J249)&amp;""),""))</f>
        <v/>
      </c>
      <c r="B249" s="39">
        <f>IF($J249="","",INDEX(Tarifa!$A$13:$A$512,$J249)&amp;"")</f>
        <v/>
      </c>
      <c r="C249" s="39">
        <f>IF($J249="","",INDEX(Tarifa!$B$13:$B$512,$J249)&amp;"")</f>
        <v/>
      </c>
      <c r="D249" s="39">
        <f>IF($J249="","",INDEX(Tarifa!$C$13:$C$512,$J249)&amp;"")</f>
        <v/>
      </c>
      <c r="E249" s="40">
        <f>IF($J249="","",IF(INDEX(Tarifa!$D$13:$D$512,$J249)="","",INDEX(Tarifa!$D$13:$D$512,$J249)))</f>
        <v/>
      </c>
      <c r="F249" s="41">
        <f>IF(OR($J249="",$J$1=""),"",IF(INDEX(Tarifa!$G$13:$G$512,$J249)="","",IF(NOT(ISNUMBER(INDEX(Tarifa!$G$13:$G$512,$J249))),"Revisa",IF($J$1=1,INDEX(Tarifa!$G$13:$G$512,$J249),ROUND(ROUND(INDEX(Tarifa!$G$13:$G$512,$J249)*(1+$J$2/100)/$J$3,0)*$J$3,2)))))</f>
        <v/>
      </c>
      <c r="G249" s="42">
        <f>IF(OR(NOT(ISNUMBER(F249)),N(E249)&lt;=1),"",ROUND(F249/E249,3))</f>
        <v/>
      </c>
      <c r="H249" s="43">
        <f>IF($J249="","",IF(INDEX(Tarifa!$H$13:$H$512,$J249)="","",INDEX(Tarifa!$H$13:$H$512,$J249)))</f>
        <v/>
      </c>
      <c r="I249" s="41">
        <f>IF(OR($M$3="No",$M$3="",NOT(ISNUMBER(F249))),"",IF(NOT(ISNUMBER(H249)),"Falta IVA",ROUND(F249*(1+(H249+IF($M$3="Con IVA y recargo",IF(H249=21,5.2,IF(H249=10,1.4,IF(H249=4,0.5,0))),0))/100),2)))</f>
        <v/>
      </c>
      <c r="J249">
        <f>IFERROR(MATCH(239,Tarifa!$O$13:$O$512,0),"")</f>
        <v/>
      </c>
    </row>
    <row r="250" ht="17" customHeight="1">
      <c r="A250" s="38">
        <f>IF($J250="","",IFERROR(IF(INDEX(Tarifa!$E$13:$E$512,$J250)&amp;""=INDEX(Tarifa!$E$13:$E$512,$J249)&amp;"","",INDEX(Tarifa!$E$13:$E$512,$J250)&amp;""),""))</f>
        <v/>
      </c>
      <c r="B250" s="39">
        <f>IF($J250="","",INDEX(Tarifa!$A$13:$A$512,$J250)&amp;"")</f>
        <v/>
      </c>
      <c r="C250" s="39">
        <f>IF($J250="","",INDEX(Tarifa!$B$13:$B$512,$J250)&amp;"")</f>
        <v/>
      </c>
      <c r="D250" s="39">
        <f>IF($J250="","",INDEX(Tarifa!$C$13:$C$512,$J250)&amp;"")</f>
        <v/>
      </c>
      <c r="E250" s="40">
        <f>IF($J250="","",IF(INDEX(Tarifa!$D$13:$D$512,$J250)="","",INDEX(Tarifa!$D$13:$D$512,$J250)))</f>
        <v/>
      </c>
      <c r="F250" s="41">
        <f>IF(OR($J250="",$J$1=""),"",IF(INDEX(Tarifa!$G$13:$G$512,$J250)="","",IF(NOT(ISNUMBER(INDEX(Tarifa!$G$13:$G$512,$J250))),"Revisa",IF($J$1=1,INDEX(Tarifa!$G$13:$G$512,$J250),ROUND(ROUND(INDEX(Tarifa!$G$13:$G$512,$J250)*(1+$J$2/100)/$J$3,0)*$J$3,2)))))</f>
        <v/>
      </c>
      <c r="G250" s="42">
        <f>IF(OR(NOT(ISNUMBER(F250)),N(E250)&lt;=1),"",ROUND(F250/E250,3))</f>
        <v/>
      </c>
      <c r="H250" s="43">
        <f>IF($J250="","",IF(INDEX(Tarifa!$H$13:$H$512,$J250)="","",INDEX(Tarifa!$H$13:$H$512,$J250)))</f>
        <v/>
      </c>
      <c r="I250" s="41">
        <f>IF(OR($M$3="No",$M$3="",NOT(ISNUMBER(F250))),"",IF(NOT(ISNUMBER(H250)),"Falta IVA",ROUND(F250*(1+(H250+IF($M$3="Con IVA y recargo",IF(H250=21,5.2,IF(H250=10,1.4,IF(H250=4,0.5,0))),0))/100),2)))</f>
        <v/>
      </c>
      <c r="J250">
        <f>IFERROR(MATCH(240,Tarifa!$O$13:$O$512,0),"")</f>
        <v/>
      </c>
    </row>
    <row r="251" ht="17" customHeight="1">
      <c r="A251" s="38">
        <f>IF($J251="","",IFERROR(IF(INDEX(Tarifa!$E$13:$E$512,$J251)&amp;""=INDEX(Tarifa!$E$13:$E$512,$J250)&amp;"","",INDEX(Tarifa!$E$13:$E$512,$J251)&amp;""),""))</f>
        <v/>
      </c>
      <c r="B251" s="39">
        <f>IF($J251="","",INDEX(Tarifa!$A$13:$A$512,$J251)&amp;"")</f>
        <v/>
      </c>
      <c r="C251" s="39">
        <f>IF($J251="","",INDEX(Tarifa!$B$13:$B$512,$J251)&amp;"")</f>
        <v/>
      </c>
      <c r="D251" s="39">
        <f>IF($J251="","",INDEX(Tarifa!$C$13:$C$512,$J251)&amp;"")</f>
        <v/>
      </c>
      <c r="E251" s="40">
        <f>IF($J251="","",IF(INDEX(Tarifa!$D$13:$D$512,$J251)="","",INDEX(Tarifa!$D$13:$D$512,$J251)))</f>
        <v/>
      </c>
      <c r="F251" s="41">
        <f>IF(OR($J251="",$J$1=""),"",IF(INDEX(Tarifa!$G$13:$G$512,$J251)="","",IF(NOT(ISNUMBER(INDEX(Tarifa!$G$13:$G$512,$J251))),"Revisa",IF($J$1=1,INDEX(Tarifa!$G$13:$G$512,$J251),ROUND(ROUND(INDEX(Tarifa!$G$13:$G$512,$J251)*(1+$J$2/100)/$J$3,0)*$J$3,2)))))</f>
        <v/>
      </c>
      <c r="G251" s="42">
        <f>IF(OR(NOT(ISNUMBER(F251)),N(E251)&lt;=1),"",ROUND(F251/E251,3))</f>
        <v/>
      </c>
      <c r="H251" s="43">
        <f>IF($J251="","",IF(INDEX(Tarifa!$H$13:$H$512,$J251)="","",INDEX(Tarifa!$H$13:$H$512,$J251)))</f>
        <v/>
      </c>
      <c r="I251" s="41">
        <f>IF(OR($M$3="No",$M$3="",NOT(ISNUMBER(F251))),"",IF(NOT(ISNUMBER(H251)),"Falta IVA",ROUND(F251*(1+(H251+IF($M$3="Con IVA y recargo",IF(H251=21,5.2,IF(H251=10,1.4,IF(H251=4,0.5,0))),0))/100),2)))</f>
        <v/>
      </c>
      <c r="J251">
        <f>IFERROR(MATCH(241,Tarifa!$O$13:$O$512,0),"")</f>
        <v/>
      </c>
    </row>
    <row r="252" ht="17" customHeight="1">
      <c r="A252" s="38">
        <f>IF($J252="","",IFERROR(IF(INDEX(Tarifa!$E$13:$E$512,$J252)&amp;""=INDEX(Tarifa!$E$13:$E$512,$J251)&amp;"","",INDEX(Tarifa!$E$13:$E$512,$J252)&amp;""),""))</f>
        <v/>
      </c>
      <c r="B252" s="39">
        <f>IF($J252="","",INDEX(Tarifa!$A$13:$A$512,$J252)&amp;"")</f>
        <v/>
      </c>
      <c r="C252" s="39">
        <f>IF($J252="","",INDEX(Tarifa!$B$13:$B$512,$J252)&amp;"")</f>
        <v/>
      </c>
      <c r="D252" s="39">
        <f>IF($J252="","",INDEX(Tarifa!$C$13:$C$512,$J252)&amp;"")</f>
        <v/>
      </c>
      <c r="E252" s="40">
        <f>IF($J252="","",IF(INDEX(Tarifa!$D$13:$D$512,$J252)="","",INDEX(Tarifa!$D$13:$D$512,$J252)))</f>
        <v/>
      </c>
      <c r="F252" s="41">
        <f>IF(OR($J252="",$J$1=""),"",IF(INDEX(Tarifa!$G$13:$G$512,$J252)="","",IF(NOT(ISNUMBER(INDEX(Tarifa!$G$13:$G$512,$J252))),"Revisa",IF($J$1=1,INDEX(Tarifa!$G$13:$G$512,$J252),ROUND(ROUND(INDEX(Tarifa!$G$13:$G$512,$J252)*(1+$J$2/100)/$J$3,0)*$J$3,2)))))</f>
        <v/>
      </c>
      <c r="G252" s="42">
        <f>IF(OR(NOT(ISNUMBER(F252)),N(E252)&lt;=1),"",ROUND(F252/E252,3))</f>
        <v/>
      </c>
      <c r="H252" s="43">
        <f>IF($J252="","",IF(INDEX(Tarifa!$H$13:$H$512,$J252)="","",INDEX(Tarifa!$H$13:$H$512,$J252)))</f>
        <v/>
      </c>
      <c r="I252" s="41">
        <f>IF(OR($M$3="No",$M$3="",NOT(ISNUMBER(F252))),"",IF(NOT(ISNUMBER(H252)),"Falta IVA",ROUND(F252*(1+(H252+IF($M$3="Con IVA y recargo",IF(H252=21,5.2,IF(H252=10,1.4,IF(H252=4,0.5,0))),0))/100),2)))</f>
        <v/>
      </c>
      <c r="J252">
        <f>IFERROR(MATCH(242,Tarifa!$O$13:$O$512,0),"")</f>
        <v/>
      </c>
    </row>
    <row r="253" ht="17" customHeight="1">
      <c r="A253" s="38">
        <f>IF($J253="","",IFERROR(IF(INDEX(Tarifa!$E$13:$E$512,$J253)&amp;""=INDEX(Tarifa!$E$13:$E$512,$J252)&amp;"","",INDEX(Tarifa!$E$13:$E$512,$J253)&amp;""),""))</f>
        <v/>
      </c>
      <c r="B253" s="39">
        <f>IF($J253="","",INDEX(Tarifa!$A$13:$A$512,$J253)&amp;"")</f>
        <v/>
      </c>
      <c r="C253" s="39">
        <f>IF($J253="","",INDEX(Tarifa!$B$13:$B$512,$J253)&amp;"")</f>
        <v/>
      </c>
      <c r="D253" s="39">
        <f>IF($J253="","",INDEX(Tarifa!$C$13:$C$512,$J253)&amp;"")</f>
        <v/>
      </c>
      <c r="E253" s="40">
        <f>IF($J253="","",IF(INDEX(Tarifa!$D$13:$D$512,$J253)="","",INDEX(Tarifa!$D$13:$D$512,$J253)))</f>
        <v/>
      </c>
      <c r="F253" s="41">
        <f>IF(OR($J253="",$J$1=""),"",IF(INDEX(Tarifa!$G$13:$G$512,$J253)="","",IF(NOT(ISNUMBER(INDEX(Tarifa!$G$13:$G$512,$J253))),"Revisa",IF($J$1=1,INDEX(Tarifa!$G$13:$G$512,$J253),ROUND(ROUND(INDEX(Tarifa!$G$13:$G$512,$J253)*(1+$J$2/100)/$J$3,0)*$J$3,2)))))</f>
        <v/>
      </c>
      <c r="G253" s="42">
        <f>IF(OR(NOT(ISNUMBER(F253)),N(E253)&lt;=1),"",ROUND(F253/E253,3))</f>
        <v/>
      </c>
      <c r="H253" s="43">
        <f>IF($J253="","",IF(INDEX(Tarifa!$H$13:$H$512,$J253)="","",INDEX(Tarifa!$H$13:$H$512,$J253)))</f>
        <v/>
      </c>
      <c r="I253" s="41">
        <f>IF(OR($M$3="No",$M$3="",NOT(ISNUMBER(F253))),"",IF(NOT(ISNUMBER(H253)),"Falta IVA",ROUND(F253*(1+(H253+IF($M$3="Con IVA y recargo",IF(H253=21,5.2,IF(H253=10,1.4,IF(H253=4,0.5,0))),0))/100),2)))</f>
        <v/>
      </c>
      <c r="J253">
        <f>IFERROR(MATCH(243,Tarifa!$O$13:$O$512,0),"")</f>
        <v/>
      </c>
    </row>
    <row r="254" ht="17" customHeight="1">
      <c r="A254" s="38">
        <f>IF($J254="","",IFERROR(IF(INDEX(Tarifa!$E$13:$E$512,$J254)&amp;""=INDEX(Tarifa!$E$13:$E$512,$J253)&amp;"","",INDEX(Tarifa!$E$13:$E$512,$J254)&amp;""),""))</f>
        <v/>
      </c>
      <c r="B254" s="39">
        <f>IF($J254="","",INDEX(Tarifa!$A$13:$A$512,$J254)&amp;"")</f>
        <v/>
      </c>
      <c r="C254" s="39">
        <f>IF($J254="","",INDEX(Tarifa!$B$13:$B$512,$J254)&amp;"")</f>
        <v/>
      </c>
      <c r="D254" s="39">
        <f>IF($J254="","",INDEX(Tarifa!$C$13:$C$512,$J254)&amp;"")</f>
        <v/>
      </c>
      <c r="E254" s="40">
        <f>IF($J254="","",IF(INDEX(Tarifa!$D$13:$D$512,$J254)="","",INDEX(Tarifa!$D$13:$D$512,$J254)))</f>
        <v/>
      </c>
      <c r="F254" s="41">
        <f>IF(OR($J254="",$J$1=""),"",IF(INDEX(Tarifa!$G$13:$G$512,$J254)="","",IF(NOT(ISNUMBER(INDEX(Tarifa!$G$13:$G$512,$J254))),"Revisa",IF($J$1=1,INDEX(Tarifa!$G$13:$G$512,$J254),ROUND(ROUND(INDEX(Tarifa!$G$13:$G$512,$J254)*(1+$J$2/100)/$J$3,0)*$J$3,2)))))</f>
        <v/>
      </c>
      <c r="G254" s="42">
        <f>IF(OR(NOT(ISNUMBER(F254)),N(E254)&lt;=1),"",ROUND(F254/E254,3))</f>
        <v/>
      </c>
      <c r="H254" s="43">
        <f>IF($J254="","",IF(INDEX(Tarifa!$H$13:$H$512,$J254)="","",INDEX(Tarifa!$H$13:$H$512,$J254)))</f>
        <v/>
      </c>
      <c r="I254" s="41">
        <f>IF(OR($M$3="No",$M$3="",NOT(ISNUMBER(F254))),"",IF(NOT(ISNUMBER(H254)),"Falta IVA",ROUND(F254*(1+(H254+IF($M$3="Con IVA y recargo",IF(H254=21,5.2,IF(H254=10,1.4,IF(H254=4,0.5,0))),0))/100),2)))</f>
        <v/>
      </c>
      <c r="J254">
        <f>IFERROR(MATCH(244,Tarifa!$O$13:$O$512,0),"")</f>
        <v/>
      </c>
    </row>
    <row r="255" ht="17" customHeight="1">
      <c r="A255" s="38">
        <f>IF($J255="","",IFERROR(IF(INDEX(Tarifa!$E$13:$E$512,$J255)&amp;""=INDEX(Tarifa!$E$13:$E$512,$J254)&amp;"","",INDEX(Tarifa!$E$13:$E$512,$J255)&amp;""),""))</f>
        <v/>
      </c>
      <c r="B255" s="39">
        <f>IF($J255="","",INDEX(Tarifa!$A$13:$A$512,$J255)&amp;"")</f>
        <v/>
      </c>
      <c r="C255" s="39">
        <f>IF($J255="","",INDEX(Tarifa!$B$13:$B$512,$J255)&amp;"")</f>
        <v/>
      </c>
      <c r="D255" s="39">
        <f>IF($J255="","",INDEX(Tarifa!$C$13:$C$512,$J255)&amp;"")</f>
        <v/>
      </c>
      <c r="E255" s="40">
        <f>IF($J255="","",IF(INDEX(Tarifa!$D$13:$D$512,$J255)="","",INDEX(Tarifa!$D$13:$D$512,$J255)))</f>
        <v/>
      </c>
      <c r="F255" s="41">
        <f>IF(OR($J255="",$J$1=""),"",IF(INDEX(Tarifa!$G$13:$G$512,$J255)="","",IF(NOT(ISNUMBER(INDEX(Tarifa!$G$13:$G$512,$J255))),"Revisa",IF($J$1=1,INDEX(Tarifa!$G$13:$G$512,$J255),ROUND(ROUND(INDEX(Tarifa!$G$13:$G$512,$J255)*(1+$J$2/100)/$J$3,0)*$J$3,2)))))</f>
        <v/>
      </c>
      <c r="G255" s="42">
        <f>IF(OR(NOT(ISNUMBER(F255)),N(E255)&lt;=1),"",ROUND(F255/E255,3))</f>
        <v/>
      </c>
      <c r="H255" s="43">
        <f>IF($J255="","",IF(INDEX(Tarifa!$H$13:$H$512,$J255)="","",INDEX(Tarifa!$H$13:$H$512,$J255)))</f>
        <v/>
      </c>
      <c r="I255" s="41">
        <f>IF(OR($M$3="No",$M$3="",NOT(ISNUMBER(F255))),"",IF(NOT(ISNUMBER(H255)),"Falta IVA",ROUND(F255*(1+(H255+IF($M$3="Con IVA y recargo",IF(H255=21,5.2,IF(H255=10,1.4,IF(H255=4,0.5,0))),0))/100),2)))</f>
        <v/>
      </c>
      <c r="J255">
        <f>IFERROR(MATCH(245,Tarifa!$O$13:$O$512,0),"")</f>
        <v/>
      </c>
    </row>
    <row r="256" ht="17" customHeight="1">
      <c r="A256" s="38">
        <f>IF($J256="","",IFERROR(IF(INDEX(Tarifa!$E$13:$E$512,$J256)&amp;""=INDEX(Tarifa!$E$13:$E$512,$J255)&amp;"","",INDEX(Tarifa!$E$13:$E$512,$J256)&amp;""),""))</f>
        <v/>
      </c>
      <c r="B256" s="39">
        <f>IF($J256="","",INDEX(Tarifa!$A$13:$A$512,$J256)&amp;"")</f>
        <v/>
      </c>
      <c r="C256" s="39">
        <f>IF($J256="","",INDEX(Tarifa!$B$13:$B$512,$J256)&amp;"")</f>
        <v/>
      </c>
      <c r="D256" s="39">
        <f>IF($J256="","",INDEX(Tarifa!$C$13:$C$512,$J256)&amp;"")</f>
        <v/>
      </c>
      <c r="E256" s="40">
        <f>IF($J256="","",IF(INDEX(Tarifa!$D$13:$D$512,$J256)="","",INDEX(Tarifa!$D$13:$D$512,$J256)))</f>
        <v/>
      </c>
      <c r="F256" s="41">
        <f>IF(OR($J256="",$J$1=""),"",IF(INDEX(Tarifa!$G$13:$G$512,$J256)="","",IF(NOT(ISNUMBER(INDEX(Tarifa!$G$13:$G$512,$J256))),"Revisa",IF($J$1=1,INDEX(Tarifa!$G$13:$G$512,$J256),ROUND(ROUND(INDEX(Tarifa!$G$13:$G$512,$J256)*(1+$J$2/100)/$J$3,0)*$J$3,2)))))</f>
        <v/>
      </c>
      <c r="G256" s="42">
        <f>IF(OR(NOT(ISNUMBER(F256)),N(E256)&lt;=1),"",ROUND(F256/E256,3))</f>
        <v/>
      </c>
      <c r="H256" s="43">
        <f>IF($J256="","",IF(INDEX(Tarifa!$H$13:$H$512,$J256)="","",INDEX(Tarifa!$H$13:$H$512,$J256)))</f>
        <v/>
      </c>
      <c r="I256" s="41">
        <f>IF(OR($M$3="No",$M$3="",NOT(ISNUMBER(F256))),"",IF(NOT(ISNUMBER(H256)),"Falta IVA",ROUND(F256*(1+(H256+IF($M$3="Con IVA y recargo",IF(H256=21,5.2,IF(H256=10,1.4,IF(H256=4,0.5,0))),0))/100),2)))</f>
        <v/>
      </c>
      <c r="J256">
        <f>IFERROR(MATCH(246,Tarifa!$O$13:$O$512,0),"")</f>
        <v/>
      </c>
    </row>
    <row r="257" ht="17" customHeight="1">
      <c r="A257" s="38">
        <f>IF($J257="","",IFERROR(IF(INDEX(Tarifa!$E$13:$E$512,$J257)&amp;""=INDEX(Tarifa!$E$13:$E$512,$J256)&amp;"","",INDEX(Tarifa!$E$13:$E$512,$J257)&amp;""),""))</f>
        <v/>
      </c>
      <c r="B257" s="39">
        <f>IF($J257="","",INDEX(Tarifa!$A$13:$A$512,$J257)&amp;"")</f>
        <v/>
      </c>
      <c r="C257" s="39">
        <f>IF($J257="","",INDEX(Tarifa!$B$13:$B$512,$J257)&amp;"")</f>
        <v/>
      </c>
      <c r="D257" s="39">
        <f>IF($J257="","",INDEX(Tarifa!$C$13:$C$512,$J257)&amp;"")</f>
        <v/>
      </c>
      <c r="E257" s="40">
        <f>IF($J257="","",IF(INDEX(Tarifa!$D$13:$D$512,$J257)="","",INDEX(Tarifa!$D$13:$D$512,$J257)))</f>
        <v/>
      </c>
      <c r="F257" s="41">
        <f>IF(OR($J257="",$J$1=""),"",IF(INDEX(Tarifa!$G$13:$G$512,$J257)="","",IF(NOT(ISNUMBER(INDEX(Tarifa!$G$13:$G$512,$J257))),"Revisa",IF($J$1=1,INDEX(Tarifa!$G$13:$G$512,$J257),ROUND(ROUND(INDEX(Tarifa!$G$13:$G$512,$J257)*(1+$J$2/100)/$J$3,0)*$J$3,2)))))</f>
        <v/>
      </c>
      <c r="G257" s="42">
        <f>IF(OR(NOT(ISNUMBER(F257)),N(E257)&lt;=1),"",ROUND(F257/E257,3))</f>
        <v/>
      </c>
      <c r="H257" s="43">
        <f>IF($J257="","",IF(INDEX(Tarifa!$H$13:$H$512,$J257)="","",INDEX(Tarifa!$H$13:$H$512,$J257)))</f>
        <v/>
      </c>
      <c r="I257" s="41">
        <f>IF(OR($M$3="No",$M$3="",NOT(ISNUMBER(F257))),"",IF(NOT(ISNUMBER(H257)),"Falta IVA",ROUND(F257*(1+(H257+IF($M$3="Con IVA y recargo",IF(H257=21,5.2,IF(H257=10,1.4,IF(H257=4,0.5,0))),0))/100),2)))</f>
        <v/>
      </c>
      <c r="J257">
        <f>IFERROR(MATCH(247,Tarifa!$O$13:$O$512,0),"")</f>
        <v/>
      </c>
    </row>
    <row r="258" ht="17" customHeight="1">
      <c r="A258" s="38">
        <f>IF($J258="","",IFERROR(IF(INDEX(Tarifa!$E$13:$E$512,$J258)&amp;""=INDEX(Tarifa!$E$13:$E$512,$J257)&amp;"","",INDEX(Tarifa!$E$13:$E$512,$J258)&amp;""),""))</f>
        <v/>
      </c>
      <c r="B258" s="39">
        <f>IF($J258="","",INDEX(Tarifa!$A$13:$A$512,$J258)&amp;"")</f>
        <v/>
      </c>
      <c r="C258" s="39">
        <f>IF($J258="","",INDEX(Tarifa!$B$13:$B$512,$J258)&amp;"")</f>
        <v/>
      </c>
      <c r="D258" s="39">
        <f>IF($J258="","",INDEX(Tarifa!$C$13:$C$512,$J258)&amp;"")</f>
        <v/>
      </c>
      <c r="E258" s="40">
        <f>IF($J258="","",IF(INDEX(Tarifa!$D$13:$D$512,$J258)="","",INDEX(Tarifa!$D$13:$D$512,$J258)))</f>
        <v/>
      </c>
      <c r="F258" s="41">
        <f>IF(OR($J258="",$J$1=""),"",IF(INDEX(Tarifa!$G$13:$G$512,$J258)="","",IF(NOT(ISNUMBER(INDEX(Tarifa!$G$13:$G$512,$J258))),"Revisa",IF($J$1=1,INDEX(Tarifa!$G$13:$G$512,$J258),ROUND(ROUND(INDEX(Tarifa!$G$13:$G$512,$J258)*(1+$J$2/100)/$J$3,0)*$J$3,2)))))</f>
        <v/>
      </c>
      <c r="G258" s="42">
        <f>IF(OR(NOT(ISNUMBER(F258)),N(E258)&lt;=1),"",ROUND(F258/E258,3))</f>
        <v/>
      </c>
      <c r="H258" s="43">
        <f>IF($J258="","",IF(INDEX(Tarifa!$H$13:$H$512,$J258)="","",INDEX(Tarifa!$H$13:$H$512,$J258)))</f>
        <v/>
      </c>
      <c r="I258" s="41">
        <f>IF(OR($M$3="No",$M$3="",NOT(ISNUMBER(F258))),"",IF(NOT(ISNUMBER(H258)),"Falta IVA",ROUND(F258*(1+(H258+IF($M$3="Con IVA y recargo",IF(H258=21,5.2,IF(H258=10,1.4,IF(H258=4,0.5,0))),0))/100),2)))</f>
        <v/>
      </c>
      <c r="J258">
        <f>IFERROR(MATCH(248,Tarifa!$O$13:$O$512,0),"")</f>
        <v/>
      </c>
    </row>
    <row r="259" ht="17" customHeight="1">
      <c r="A259" s="38">
        <f>IF($J259="","",IFERROR(IF(INDEX(Tarifa!$E$13:$E$512,$J259)&amp;""=INDEX(Tarifa!$E$13:$E$512,$J258)&amp;"","",INDEX(Tarifa!$E$13:$E$512,$J259)&amp;""),""))</f>
        <v/>
      </c>
      <c r="B259" s="39">
        <f>IF($J259="","",INDEX(Tarifa!$A$13:$A$512,$J259)&amp;"")</f>
        <v/>
      </c>
      <c r="C259" s="39">
        <f>IF($J259="","",INDEX(Tarifa!$B$13:$B$512,$J259)&amp;"")</f>
        <v/>
      </c>
      <c r="D259" s="39">
        <f>IF($J259="","",INDEX(Tarifa!$C$13:$C$512,$J259)&amp;"")</f>
        <v/>
      </c>
      <c r="E259" s="40">
        <f>IF($J259="","",IF(INDEX(Tarifa!$D$13:$D$512,$J259)="","",INDEX(Tarifa!$D$13:$D$512,$J259)))</f>
        <v/>
      </c>
      <c r="F259" s="41">
        <f>IF(OR($J259="",$J$1=""),"",IF(INDEX(Tarifa!$G$13:$G$512,$J259)="","",IF(NOT(ISNUMBER(INDEX(Tarifa!$G$13:$G$512,$J259))),"Revisa",IF($J$1=1,INDEX(Tarifa!$G$13:$G$512,$J259),ROUND(ROUND(INDEX(Tarifa!$G$13:$G$512,$J259)*(1+$J$2/100)/$J$3,0)*$J$3,2)))))</f>
        <v/>
      </c>
      <c r="G259" s="42">
        <f>IF(OR(NOT(ISNUMBER(F259)),N(E259)&lt;=1),"",ROUND(F259/E259,3))</f>
        <v/>
      </c>
      <c r="H259" s="43">
        <f>IF($J259="","",IF(INDEX(Tarifa!$H$13:$H$512,$J259)="","",INDEX(Tarifa!$H$13:$H$512,$J259)))</f>
        <v/>
      </c>
      <c r="I259" s="41">
        <f>IF(OR($M$3="No",$M$3="",NOT(ISNUMBER(F259))),"",IF(NOT(ISNUMBER(H259)),"Falta IVA",ROUND(F259*(1+(H259+IF($M$3="Con IVA y recargo",IF(H259=21,5.2,IF(H259=10,1.4,IF(H259=4,0.5,0))),0))/100),2)))</f>
        <v/>
      </c>
      <c r="J259">
        <f>IFERROR(MATCH(249,Tarifa!$O$13:$O$512,0),"")</f>
        <v/>
      </c>
    </row>
    <row r="260" ht="17" customHeight="1">
      <c r="A260" s="38">
        <f>IF($J260="","",IFERROR(IF(INDEX(Tarifa!$E$13:$E$512,$J260)&amp;""=INDEX(Tarifa!$E$13:$E$512,$J259)&amp;"","",INDEX(Tarifa!$E$13:$E$512,$J260)&amp;""),""))</f>
        <v/>
      </c>
      <c r="B260" s="39">
        <f>IF($J260="","",INDEX(Tarifa!$A$13:$A$512,$J260)&amp;"")</f>
        <v/>
      </c>
      <c r="C260" s="39">
        <f>IF($J260="","",INDEX(Tarifa!$B$13:$B$512,$J260)&amp;"")</f>
        <v/>
      </c>
      <c r="D260" s="39">
        <f>IF($J260="","",INDEX(Tarifa!$C$13:$C$512,$J260)&amp;"")</f>
        <v/>
      </c>
      <c r="E260" s="40">
        <f>IF($J260="","",IF(INDEX(Tarifa!$D$13:$D$512,$J260)="","",INDEX(Tarifa!$D$13:$D$512,$J260)))</f>
        <v/>
      </c>
      <c r="F260" s="41">
        <f>IF(OR($J260="",$J$1=""),"",IF(INDEX(Tarifa!$G$13:$G$512,$J260)="","",IF(NOT(ISNUMBER(INDEX(Tarifa!$G$13:$G$512,$J260))),"Revisa",IF($J$1=1,INDEX(Tarifa!$G$13:$G$512,$J260),ROUND(ROUND(INDEX(Tarifa!$G$13:$G$512,$J260)*(1+$J$2/100)/$J$3,0)*$J$3,2)))))</f>
        <v/>
      </c>
      <c r="G260" s="42">
        <f>IF(OR(NOT(ISNUMBER(F260)),N(E260)&lt;=1),"",ROUND(F260/E260,3))</f>
        <v/>
      </c>
      <c r="H260" s="43">
        <f>IF($J260="","",IF(INDEX(Tarifa!$H$13:$H$512,$J260)="","",INDEX(Tarifa!$H$13:$H$512,$J260)))</f>
        <v/>
      </c>
      <c r="I260" s="41">
        <f>IF(OR($M$3="No",$M$3="",NOT(ISNUMBER(F260))),"",IF(NOT(ISNUMBER(H260)),"Falta IVA",ROUND(F260*(1+(H260+IF($M$3="Con IVA y recargo",IF(H260=21,5.2,IF(H260=10,1.4,IF(H260=4,0.5,0))),0))/100),2)))</f>
        <v/>
      </c>
      <c r="J260">
        <f>IFERROR(MATCH(250,Tarifa!$O$13:$O$512,0),"")</f>
        <v/>
      </c>
    </row>
    <row r="261" ht="17" customHeight="1">
      <c r="A261" s="38">
        <f>IF($J261="","",IFERROR(IF(INDEX(Tarifa!$E$13:$E$512,$J261)&amp;""=INDEX(Tarifa!$E$13:$E$512,$J260)&amp;"","",INDEX(Tarifa!$E$13:$E$512,$J261)&amp;""),""))</f>
        <v/>
      </c>
      <c r="B261" s="39">
        <f>IF($J261="","",INDEX(Tarifa!$A$13:$A$512,$J261)&amp;"")</f>
        <v/>
      </c>
      <c r="C261" s="39">
        <f>IF($J261="","",INDEX(Tarifa!$B$13:$B$512,$J261)&amp;"")</f>
        <v/>
      </c>
      <c r="D261" s="39">
        <f>IF($J261="","",INDEX(Tarifa!$C$13:$C$512,$J261)&amp;"")</f>
        <v/>
      </c>
      <c r="E261" s="40">
        <f>IF($J261="","",IF(INDEX(Tarifa!$D$13:$D$512,$J261)="","",INDEX(Tarifa!$D$13:$D$512,$J261)))</f>
        <v/>
      </c>
      <c r="F261" s="41">
        <f>IF(OR($J261="",$J$1=""),"",IF(INDEX(Tarifa!$G$13:$G$512,$J261)="","",IF(NOT(ISNUMBER(INDEX(Tarifa!$G$13:$G$512,$J261))),"Revisa",IF($J$1=1,INDEX(Tarifa!$G$13:$G$512,$J261),ROUND(ROUND(INDEX(Tarifa!$G$13:$G$512,$J261)*(1+$J$2/100)/$J$3,0)*$J$3,2)))))</f>
        <v/>
      </c>
      <c r="G261" s="42">
        <f>IF(OR(NOT(ISNUMBER(F261)),N(E261)&lt;=1),"",ROUND(F261/E261,3))</f>
        <v/>
      </c>
      <c r="H261" s="43">
        <f>IF($J261="","",IF(INDEX(Tarifa!$H$13:$H$512,$J261)="","",INDEX(Tarifa!$H$13:$H$512,$J261)))</f>
        <v/>
      </c>
      <c r="I261" s="41">
        <f>IF(OR($M$3="No",$M$3="",NOT(ISNUMBER(F261))),"",IF(NOT(ISNUMBER(H261)),"Falta IVA",ROUND(F261*(1+(H261+IF($M$3="Con IVA y recargo",IF(H261=21,5.2,IF(H261=10,1.4,IF(H261=4,0.5,0))),0))/100),2)))</f>
        <v/>
      </c>
      <c r="J261">
        <f>IFERROR(MATCH(251,Tarifa!$O$13:$O$512,0),"")</f>
        <v/>
      </c>
    </row>
    <row r="262" ht="17" customHeight="1">
      <c r="A262" s="38">
        <f>IF($J262="","",IFERROR(IF(INDEX(Tarifa!$E$13:$E$512,$J262)&amp;""=INDEX(Tarifa!$E$13:$E$512,$J261)&amp;"","",INDEX(Tarifa!$E$13:$E$512,$J262)&amp;""),""))</f>
        <v/>
      </c>
      <c r="B262" s="39">
        <f>IF($J262="","",INDEX(Tarifa!$A$13:$A$512,$J262)&amp;"")</f>
        <v/>
      </c>
      <c r="C262" s="39">
        <f>IF($J262="","",INDEX(Tarifa!$B$13:$B$512,$J262)&amp;"")</f>
        <v/>
      </c>
      <c r="D262" s="39">
        <f>IF($J262="","",INDEX(Tarifa!$C$13:$C$512,$J262)&amp;"")</f>
        <v/>
      </c>
      <c r="E262" s="40">
        <f>IF($J262="","",IF(INDEX(Tarifa!$D$13:$D$512,$J262)="","",INDEX(Tarifa!$D$13:$D$512,$J262)))</f>
        <v/>
      </c>
      <c r="F262" s="41">
        <f>IF(OR($J262="",$J$1=""),"",IF(INDEX(Tarifa!$G$13:$G$512,$J262)="","",IF(NOT(ISNUMBER(INDEX(Tarifa!$G$13:$G$512,$J262))),"Revisa",IF($J$1=1,INDEX(Tarifa!$G$13:$G$512,$J262),ROUND(ROUND(INDEX(Tarifa!$G$13:$G$512,$J262)*(1+$J$2/100)/$J$3,0)*$J$3,2)))))</f>
        <v/>
      </c>
      <c r="G262" s="42">
        <f>IF(OR(NOT(ISNUMBER(F262)),N(E262)&lt;=1),"",ROUND(F262/E262,3))</f>
        <v/>
      </c>
      <c r="H262" s="43">
        <f>IF($J262="","",IF(INDEX(Tarifa!$H$13:$H$512,$J262)="","",INDEX(Tarifa!$H$13:$H$512,$J262)))</f>
        <v/>
      </c>
      <c r="I262" s="41">
        <f>IF(OR($M$3="No",$M$3="",NOT(ISNUMBER(F262))),"",IF(NOT(ISNUMBER(H262)),"Falta IVA",ROUND(F262*(1+(H262+IF($M$3="Con IVA y recargo",IF(H262=21,5.2,IF(H262=10,1.4,IF(H262=4,0.5,0))),0))/100),2)))</f>
        <v/>
      </c>
      <c r="J262">
        <f>IFERROR(MATCH(252,Tarifa!$O$13:$O$512,0),"")</f>
        <v/>
      </c>
    </row>
    <row r="263" ht="17" customHeight="1">
      <c r="A263" s="38">
        <f>IF($J263="","",IFERROR(IF(INDEX(Tarifa!$E$13:$E$512,$J263)&amp;""=INDEX(Tarifa!$E$13:$E$512,$J262)&amp;"","",INDEX(Tarifa!$E$13:$E$512,$J263)&amp;""),""))</f>
        <v/>
      </c>
      <c r="B263" s="39">
        <f>IF($J263="","",INDEX(Tarifa!$A$13:$A$512,$J263)&amp;"")</f>
        <v/>
      </c>
      <c r="C263" s="39">
        <f>IF($J263="","",INDEX(Tarifa!$B$13:$B$512,$J263)&amp;"")</f>
        <v/>
      </c>
      <c r="D263" s="39">
        <f>IF($J263="","",INDEX(Tarifa!$C$13:$C$512,$J263)&amp;"")</f>
        <v/>
      </c>
      <c r="E263" s="40">
        <f>IF($J263="","",IF(INDEX(Tarifa!$D$13:$D$512,$J263)="","",INDEX(Tarifa!$D$13:$D$512,$J263)))</f>
        <v/>
      </c>
      <c r="F263" s="41">
        <f>IF(OR($J263="",$J$1=""),"",IF(INDEX(Tarifa!$G$13:$G$512,$J263)="","",IF(NOT(ISNUMBER(INDEX(Tarifa!$G$13:$G$512,$J263))),"Revisa",IF($J$1=1,INDEX(Tarifa!$G$13:$G$512,$J263),ROUND(ROUND(INDEX(Tarifa!$G$13:$G$512,$J263)*(1+$J$2/100)/$J$3,0)*$J$3,2)))))</f>
        <v/>
      </c>
      <c r="G263" s="42">
        <f>IF(OR(NOT(ISNUMBER(F263)),N(E263)&lt;=1),"",ROUND(F263/E263,3))</f>
        <v/>
      </c>
      <c r="H263" s="43">
        <f>IF($J263="","",IF(INDEX(Tarifa!$H$13:$H$512,$J263)="","",INDEX(Tarifa!$H$13:$H$512,$J263)))</f>
        <v/>
      </c>
      <c r="I263" s="41">
        <f>IF(OR($M$3="No",$M$3="",NOT(ISNUMBER(F263))),"",IF(NOT(ISNUMBER(H263)),"Falta IVA",ROUND(F263*(1+(H263+IF($M$3="Con IVA y recargo",IF(H263=21,5.2,IF(H263=10,1.4,IF(H263=4,0.5,0))),0))/100),2)))</f>
        <v/>
      </c>
      <c r="J263">
        <f>IFERROR(MATCH(253,Tarifa!$O$13:$O$512,0),"")</f>
        <v/>
      </c>
    </row>
    <row r="264" ht="17" customHeight="1">
      <c r="A264" s="38">
        <f>IF($J264="","",IFERROR(IF(INDEX(Tarifa!$E$13:$E$512,$J264)&amp;""=INDEX(Tarifa!$E$13:$E$512,$J263)&amp;"","",INDEX(Tarifa!$E$13:$E$512,$J264)&amp;""),""))</f>
        <v/>
      </c>
      <c r="B264" s="39">
        <f>IF($J264="","",INDEX(Tarifa!$A$13:$A$512,$J264)&amp;"")</f>
        <v/>
      </c>
      <c r="C264" s="39">
        <f>IF($J264="","",INDEX(Tarifa!$B$13:$B$512,$J264)&amp;"")</f>
        <v/>
      </c>
      <c r="D264" s="39">
        <f>IF($J264="","",INDEX(Tarifa!$C$13:$C$512,$J264)&amp;"")</f>
        <v/>
      </c>
      <c r="E264" s="40">
        <f>IF($J264="","",IF(INDEX(Tarifa!$D$13:$D$512,$J264)="","",INDEX(Tarifa!$D$13:$D$512,$J264)))</f>
        <v/>
      </c>
      <c r="F264" s="41">
        <f>IF(OR($J264="",$J$1=""),"",IF(INDEX(Tarifa!$G$13:$G$512,$J264)="","",IF(NOT(ISNUMBER(INDEX(Tarifa!$G$13:$G$512,$J264))),"Revisa",IF($J$1=1,INDEX(Tarifa!$G$13:$G$512,$J264),ROUND(ROUND(INDEX(Tarifa!$G$13:$G$512,$J264)*(1+$J$2/100)/$J$3,0)*$J$3,2)))))</f>
        <v/>
      </c>
      <c r="G264" s="42">
        <f>IF(OR(NOT(ISNUMBER(F264)),N(E264)&lt;=1),"",ROUND(F264/E264,3))</f>
        <v/>
      </c>
      <c r="H264" s="43">
        <f>IF($J264="","",IF(INDEX(Tarifa!$H$13:$H$512,$J264)="","",INDEX(Tarifa!$H$13:$H$512,$J264)))</f>
        <v/>
      </c>
      <c r="I264" s="41">
        <f>IF(OR($M$3="No",$M$3="",NOT(ISNUMBER(F264))),"",IF(NOT(ISNUMBER(H264)),"Falta IVA",ROUND(F264*(1+(H264+IF($M$3="Con IVA y recargo",IF(H264=21,5.2,IF(H264=10,1.4,IF(H264=4,0.5,0))),0))/100),2)))</f>
        <v/>
      </c>
      <c r="J264">
        <f>IFERROR(MATCH(254,Tarifa!$O$13:$O$512,0),"")</f>
        <v/>
      </c>
    </row>
    <row r="265" ht="17" customHeight="1">
      <c r="A265" s="38">
        <f>IF($J265="","",IFERROR(IF(INDEX(Tarifa!$E$13:$E$512,$J265)&amp;""=INDEX(Tarifa!$E$13:$E$512,$J264)&amp;"","",INDEX(Tarifa!$E$13:$E$512,$J265)&amp;""),""))</f>
        <v/>
      </c>
      <c r="B265" s="39">
        <f>IF($J265="","",INDEX(Tarifa!$A$13:$A$512,$J265)&amp;"")</f>
        <v/>
      </c>
      <c r="C265" s="39">
        <f>IF($J265="","",INDEX(Tarifa!$B$13:$B$512,$J265)&amp;"")</f>
        <v/>
      </c>
      <c r="D265" s="39">
        <f>IF($J265="","",INDEX(Tarifa!$C$13:$C$512,$J265)&amp;"")</f>
        <v/>
      </c>
      <c r="E265" s="40">
        <f>IF($J265="","",IF(INDEX(Tarifa!$D$13:$D$512,$J265)="","",INDEX(Tarifa!$D$13:$D$512,$J265)))</f>
        <v/>
      </c>
      <c r="F265" s="41">
        <f>IF(OR($J265="",$J$1=""),"",IF(INDEX(Tarifa!$G$13:$G$512,$J265)="","",IF(NOT(ISNUMBER(INDEX(Tarifa!$G$13:$G$512,$J265))),"Revisa",IF($J$1=1,INDEX(Tarifa!$G$13:$G$512,$J265),ROUND(ROUND(INDEX(Tarifa!$G$13:$G$512,$J265)*(1+$J$2/100)/$J$3,0)*$J$3,2)))))</f>
        <v/>
      </c>
      <c r="G265" s="42">
        <f>IF(OR(NOT(ISNUMBER(F265)),N(E265)&lt;=1),"",ROUND(F265/E265,3))</f>
        <v/>
      </c>
      <c r="H265" s="43">
        <f>IF($J265="","",IF(INDEX(Tarifa!$H$13:$H$512,$J265)="","",INDEX(Tarifa!$H$13:$H$512,$J265)))</f>
        <v/>
      </c>
      <c r="I265" s="41">
        <f>IF(OR($M$3="No",$M$3="",NOT(ISNUMBER(F265))),"",IF(NOT(ISNUMBER(H265)),"Falta IVA",ROUND(F265*(1+(H265+IF($M$3="Con IVA y recargo",IF(H265=21,5.2,IF(H265=10,1.4,IF(H265=4,0.5,0))),0))/100),2)))</f>
        <v/>
      </c>
      <c r="J265">
        <f>IFERROR(MATCH(255,Tarifa!$O$13:$O$512,0),"")</f>
        <v/>
      </c>
    </row>
    <row r="266" ht="17" customHeight="1">
      <c r="A266" s="38">
        <f>IF($J266="","",IFERROR(IF(INDEX(Tarifa!$E$13:$E$512,$J266)&amp;""=INDEX(Tarifa!$E$13:$E$512,$J265)&amp;"","",INDEX(Tarifa!$E$13:$E$512,$J266)&amp;""),""))</f>
        <v/>
      </c>
      <c r="B266" s="39">
        <f>IF($J266="","",INDEX(Tarifa!$A$13:$A$512,$J266)&amp;"")</f>
        <v/>
      </c>
      <c r="C266" s="39">
        <f>IF($J266="","",INDEX(Tarifa!$B$13:$B$512,$J266)&amp;"")</f>
        <v/>
      </c>
      <c r="D266" s="39">
        <f>IF($J266="","",INDEX(Tarifa!$C$13:$C$512,$J266)&amp;"")</f>
        <v/>
      </c>
      <c r="E266" s="40">
        <f>IF($J266="","",IF(INDEX(Tarifa!$D$13:$D$512,$J266)="","",INDEX(Tarifa!$D$13:$D$512,$J266)))</f>
        <v/>
      </c>
      <c r="F266" s="41">
        <f>IF(OR($J266="",$J$1=""),"",IF(INDEX(Tarifa!$G$13:$G$512,$J266)="","",IF(NOT(ISNUMBER(INDEX(Tarifa!$G$13:$G$512,$J266))),"Revisa",IF($J$1=1,INDEX(Tarifa!$G$13:$G$512,$J266),ROUND(ROUND(INDEX(Tarifa!$G$13:$G$512,$J266)*(1+$J$2/100)/$J$3,0)*$J$3,2)))))</f>
        <v/>
      </c>
      <c r="G266" s="42">
        <f>IF(OR(NOT(ISNUMBER(F266)),N(E266)&lt;=1),"",ROUND(F266/E266,3))</f>
        <v/>
      </c>
      <c r="H266" s="43">
        <f>IF($J266="","",IF(INDEX(Tarifa!$H$13:$H$512,$J266)="","",INDEX(Tarifa!$H$13:$H$512,$J266)))</f>
        <v/>
      </c>
      <c r="I266" s="41">
        <f>IF(OR($M$3="No",$M$3="",NOT(ISNUMBER(F266))),"",IF(NOT(ISNUMBER(H266)),"Falta IVA",ROUND(F266*(1+(H266+IF($M$3="Con IVA y recargo",IF(H266=21,5.2,IF(H266=10,1.4,IF(H266=4,0.5,0))),0))/100),2)))</f>
        <v/>
      </c>
      <c r="J266">
        <f>IFERROR(MATCH(256,Tarifa!$O$13:$O$512,0),"")</f>
        <v/>
      </c>
    </row>
    <row r="267" ht="17" customHeight="1">
      <c r="A267" s="38">
        <f>IF($J267="","",IFERROR(IF(INDEX(Tarifa!$E$13:$E$512,$J267)&amp;""=INDEX(Tarifa!$E$13:$E$512,$J266)&amp;"","",INDEX(Tarifa!$E$13:$E$512,$J267)&amp;""),""))</f>
        <v/>
      </c>
      <c r="B267" s="39">
        <f>IF($J267="","",INDEX(Tarifa!$A$13:$A$512,$J267)&amp;"")</f>
        <v/>
      </c>
      <c r="C267" s="39">
        <f>IF($J267="","",INDEX(Tarifa!$B$13:$B$512,$J267)&amp;"")</f>
        <v/>
      </c>
      <c r="D267" s="39">
        <f>IF($J267="","",INDEX(Tarifa!$C$13:$C$512,$J267)&amp;"")</f>
        <v/>
      </c>
      <c r="E267" s="40">
        <f>IF($J267="","",IF(INDEX(Tarifa!$D$13:$D$512,$J267)="","",INDEX(Tarifa!$D$13:$D$512,$J267)))</f>
        <v/>
      </c>
      <c r="F267" s="41">
        <f>IF(OR($J267="",$J$1=""),"",IF(INDEX(Tarifa!$G$13:$G$512,$J267)="","",IF(NOT(ISNUMBER(INDEX(Tarifa!$G$13:$G$512,$J267))),"Revisa",IF($J$1=1,INDEX(Tarifa!$G$13:$G$512,$J267),ROUND(ROUND(INDEX(Tarifa!$G$13:$G$512,$J267)*(1+$J$2/100)/$J$3,0)*$J$3,2)))))</f>
        <v/>
      </c>
      <c r="G267" s="42">
        <f>IF(OR(NOT(ISNUMBER(F267)),N(E267)&lt;=1),"",ROUND(F267/E267,3))</f>
        <v/>
      </c>
      <c r="H267" s="43">
        <f>IF($J267="","",IF(INDEX(Tarifa!$H$13:$H$512,$J267)="","",INDEX(Tarifa!$H$13:$H$512,$J267)))</f>
        <v/>
      </c>
      <c r="I267" s="41">
        <f>IF(OR($M$3="No",$M$3="",NOT(ISNUMBER(F267))),"",IF(NOT(ISNUMBER(H267)),"Falta IVA",ROUND(F267*(1+(H267+IF($M$3="Con IVA y recargo",IF(H267=21,5.2,IF(H267=10,1.4,IF(H267=4,0.5,0))),0))/100),2)))</f>
        <v/>
      </c>
      <c r="J267">
        <f>IFERROR(MATCH(257,Tarifa!$O$13:$O$512,0),"")</f>
        <v/>
      </c>
    </row>
    <row r="268" ht="17" customHeight="1">
      <c r="A268" s="38">
        <f>IF($J268="","",IFERROR(IF(INDEX(Tarifa!$E$13:$E$512,$J268)&amp;""=INDEX(Tarifa!$E$13:$E$512,$J267)&amp;"","",INDEX(Tarifa!$E$13:$E$512,$J268)&amp;""),""))</f>
        <v/>
      </c>
      <c r="B268" s="39">
        <f>IF($J268="","",INDEX(Tarifa!$A$13:$A$512,$J268)&amp;"")</f>
        <v/>
      </c>
      <c r="C268" s="39">
        <f>IF($J268="","",INDEX(Tarifa!$B$13:$B$512,$J268)&amp;"")</f>
        <v/>
      </c>
      <c r="D268" s="39">
        <f>IF($J268="","",INDEX(Tarifa!$C$13:$C$512,$J268)&amp;"")</f>
        <v/>
      </c>
      <c r="E268" s="40">
        <f>IF($J268="","",IF(INDEX(Tarifa!$D$13:$D$512,$J268)="","",INDEX(Tarifa!$D$13:$D$512,$J268)))</f>
        <v/>
      </c>
      <c r="F268" s="41">
        <f>IF(OR($J268="",$J$1=""),"",IF(INDEX(Tarifa!$G$13:$G$512,$J268)="","",IF(NOT(ISNUMBER(INDEX(Tarifa!$G$13:$G$512,$J268))),"Revisa",IF($J$1=1,INDEX(Tarifa!$G$13:$G$512,$J268),ROUND(ROUND(INDEX(Tarifa!$G$13:$G$512,$J268)*(1+$J$2/100)/$J$3,0)*$J$3,2)))))</f>
        <v/>
      </c>
      <c r="G268" s="42">
        <f>IF(OR(NOT(ISNUMBER(F268)),N(E268)&lt;=1),"",ROUND(F268/E268,3))</f>
        <v/>
      </c>
      <c r="H268" s="43">
        <f>IF($J268="","",IF(INDEX(Tarifa!$H$13:$H$512,$J268)="","",INDEX(Tarifa!$H$13:$H$512,$J268)))</f>
        <v/>
      </c>
      <c r="I268" s="41">
        <f>IF(OR($M$3="No",$M$3="",NOT(ISNUMBER(F268))),"",IF(NOT(ISNUMBER(H268)),"Falta IVA",ROUND(F268*(1+(H268+IF($M$3="Con IVA y recargo",IF(H268=21,5.2,IF(H268=10,1.4,IF(H268=4,0.5,0))),0))/100),2)))</f>
        <v/>
      </c>
      <c r="J268">
        <f>IFERROR(MATCH(258,Tarifa!$O$13:$O$512,0),"")</f>
        <v/>
      </c>
    </row>
    <row r="269" ht="17" customHeight="1">
      <c r="A269" s="38">
        <f>IF($J269="","",IFERROR(IF(INDEX(Tarifa!$E$13:$E$512,$J269)&amp;""=INDEX(Tarifa!$E$13:$E$512,$J268)&amp;"","",INDEX(Tarifa!$E$13:$E$512,$J269)&amp;""),""))</f>
        <v/>
      </c>
      <c r="B269" s="39">
        <f>IF($J269="","",INDEX(Tarifa!$A$13:$A$512,$J269)&amp;"")</f>
        <v/>
      </c>
      <c r="C269" s="39">
        <f>IF($J269="","",INDEX(Tarifa!$B$13:$B$512,$J269)&amp;"")</f>
        <v/>
      </c>
      <c r="D269" s="39">
        <f>IF($J269="","",INDEX(Tarifa!$C$13:$C$512,$J269)&amp;"")</f>
        <v/>
      </c>
      <c r="E269" s="40">
        <f>IF($J269="","",IF(INDEX(Tarifa!$D$13:$D$512,$J269)="","",INDEX(Tarifa!$D$13:$D$512,$J269)))</f>
        <v/>
      </c>
      <c r="F269" s="41">
        <f>IF(OR($J269="",$J$1=""),"",IF(INDEX(Tarifa!$G$13:$G$512,$J269)="","",IF(NOT(ISNUMBER(INDEX(Tarifa!$G$13:$G$512,$J269))),"Revisa",IF($J$1=1,INDEX(Tarifa!$G$13:$G$512,$J269),ROUND(ROUND(INDEX(Tarifa!$G$13:$G$512,$J269)*(1+$J$2/100)/$J$3,0)*$J$3,2)))))</f>
        <v/>
      </c>
      <c r="G269" s="42">
        <f>IF(OR(NOT(ISNUMBER(F269)),N(E269)&lt;=1),"",ROUND(F269/E269,3))</f>
        <v/>
      </c>
      <c r="H269" s="43">
        <f>IF($J269="","",IF(INDEX(Tarifa!$H$13:$H$512,$J269)="","",INDEX(Tarifa!$H$13:$H$512,$J269)))</f>
        <v/>
      </c>
      <c r="I269" s="41">
        <f>IF(OR($M$3="No",$M$3="",NOT(ISNUMBER(F269))),"",IF(NOT(ISNUMBER(H269)),"Falta IVA",ROUND(F269*(1+(H269+IF($M$3="Con IVA y recargo",IF(H269=21,5.2,IF(H269=10,1.4,IF(H269=4,0.5,0))),0))/100),2)))</f>
        <v/>
      </c>
      <c r="J269">
        <f>IFERROR(MATCH(259,Tarifa!$O$13:$O$512,0),"")</f>
        <v/>
      </c>
    </row>
    <row r="270" ht="17" customHeight="1">
      <c r="A270" s="38">
        <f>IF($J270="","",IFERROR(IF(INDEX(Tarifa!$E$13:$E$512,$J270)&amp;""=INDEX(Tarifa!$E$13:$E$512,$J269)&amp;"","",INDEX(Tarifa!$E$13:$E$512,$J270)&amp;""),""))</f>
        <v/>
      </c>
      <c r="B270" s="39">
        <f>IF($J270="","",INDEX(Tarifa!$A$13:$A$512,$J270)&amp;"")</f>
        <v/>
      </c>
      <c r="C270" s="39">
        <f>IF($J270="","",INDEX(Tarifa!$B$13:$B$512,$J270)&amp;"")</f>
        <v/>
      </c>
      <c r="D270" s="39">
        <f>IF($J270="","",INDEX(Tarifa!$C$13:$C$512,$J270)&amp;"")</f>
        <v/>
      </c>
      <c r="E270" s="40">
        <f>IF($J270="","",IF(INDEX(Tarifa!$D$13:$D$512,$J270)="","",INDEX(Tarifa!$D$13:$D$512,$J270)))</f>
        <v/>
      </c>
      <c r="F270" s="41">
        <f>IF(OR($J270="",$J$1=""),"",IF(INDEX(Tarifa!$G$13:$G$512,$J270)="","",IF(NOT(ISNUMBER(INDEX(Tarifa!$G$13:$G$512,$J270))),"Revisa",IF($J$1=1,INDEX(Tarifa!$G$13:$G$512,$J270),ROUND(ROUND(INDEX(Tarifa!$G$13:$G$512,$J270)*(1+$J$2/100)/$J$3,0)*$J$3,2)))))</f>
        <v/>
      </c>
      <c r="G270" s="42">
        <f>IF(OR(NOT(ISNUMBER(F270)),N(E270)&lt;=1),"",ROUND(F270/E270,3))</f>
        <v/>
      </c>
      <c r="H270" s="43">
        <f>IF($J270="","",IF(INDEX(Tarifa!$H$13:$H$512,$J270)="","",INDEX(Tarifa!$H$13:$H$512,$J270)))</f>
        <v/>
      </c>
      <c r="I270" s="41">
        <f>IF(OR($M$3="No",$M$3="",NOT(ISNUMBER(F270))),"",IF(NOT(ISNUMBER(H270)),"Falta IVA",ROUND(F270*(1+(H270+IF($M$3="Con IVA y recargo",IF(H270=21,5.2,IF(H270=10,1.4,IF(H270=4,0.5,0))),0))/100),2)))</f>
        <v/>
      </c>
      <c r="J270">
        <f>IFERROR(MATCH(260,Tarifa!$O$13:$O$512,0),"")</f>
        <v/>
      </c>
    </row>
    <row r="271" ht="17" customHeight="1">
      <c r="A271" s="38">
        <f>IF($J271="","",IFERROR(IF(INDEX(Tarifa!$E$13:$E$512,$J271)&amp;""=INDEX(Tarifa!$E$13:$E$512,$J270)&amp;"","",INDEX(Tarifa!$E$13:$E$512,$J271)&amp;""),""))</f>
        <v/>
      </c>
      <c r="B271" s="39">
        <f>IF($J271="","",INDEX(Tarifa!$A$13:$A$512,$J271)&amp;"")</f>
        <v/>
      </c>
      <c r="C271" s="39">
        <f>IF($J271="","",INDEX(Tarifa!$B$13:$B$512,$J271)&amp;"")</f>
        <v/>
      </c>
      <c r="D271" s="39">
        <f>IF($J271="","",INDEX(Tarifa!$C$13:$C$512,$J271)&amp;"")</f>
        <v/>
      </c>
      <c r="E271" s="40">
        <f>IF($J271="","",IF(INDEX(Tarifa!$D$13:$D$512,$J271)="","",INDEX(Tarifa!$D$13:$D$512,$J271)))</f>
        <v/>
      </c>
      <c r="F271" s="41">
        <f>IF(OR($J271="",$J$1=""),"",IF(INDEX(Tarifa!$G$13:$G$512,$J271)="","",IF(NOT(ISNUMBER(INDEX(Tarifa!$G$13:$G$512,$J271))),"Revisa",IF($J$1=1,INDEX(Tarifa!$G$13:$G$512,$J271),ROUND(ROUND(INDEX(Tarifa!$G$13:$G$512,$J271)*(1+$J$2/100)/$J$3,0)*$J$3,2)))))</f>
        <v/>
      </c>
      <c r="G271" s="42">
        <f>IF(OR(NOT(ISNUMBER(F271)),N(E271)&lt;=1),"",ROUND(F271/E271,3))</f>
        <v/>
      </c>
      <c r="H271" s="43">
        <f>IF($J271="","",IF(INDEX(Tarifa!$H$13:$H$512,$J271)="","",INDEX(Tarifa!$H$13:$H$512,$J271)))</f>
        <v/>
      </c>
      <c r="I271" s="41">
        <f>IF(OR($M$3="No",$M$3="",NOT(ISNUMBER(F271))),"",IF(NOT(ISNUMBER(H271)),"Falta IVA",ROUND(F271*(1+(H271+IF($M$3="Con IVA y recargo",IF(H271=21,5.2,IF(H271=10,1.4,IF(H271=4,0.5,0))),0))/100),2)))</f>
        <v/>
      </c>
      <c r="J271">
        <f>IFERROR(MATCH(261,Tarifa!$O$13:$O$512,0),"")</f>
        <v/>
      </c>
    </row>
    <row r="272" ht="17" customHeight="1">
      <c r="A272" s="38">
        <f>IF($J272="","",IFERROR(IF(INDEX(Tarifa!$E$13:$E$512,$J272)&amp;""=INDEX(Tarifa!$E$13:$E$512,$J271)&amp;"","",INDEX(Tarifa!$E$13:$E$512,$J272)&amp;""),""))</f>
        <v/>
      </c>
      <c r="B272" s="39">
        <f>IF($J272="","",INDEX(Tarifa!$A$13:$A$512,$J272)&amp;"")</f>
        <v/>
      </c>
      <c r="C272" s="39">
        <f>IF($J272="","",INDEX(Tarifa!$B$13:$B$512,$J272)&amp;"")</f>
        <v/>
      </c>
      <c r="D272" s="39">
        <f>IF($J272="","",INDEX(Tarifa!$C$13:$C$512,$J272)&amp;"")</f>
        <v/>
      </c>
      <c r="E272" s="40">
        <f>IF($J272="","",IF(INDEX(Tarifa!$D$13:$D$512,$J272)="","",INDEX(Tarifa!$D$13:$D$512,$J272)))</f>
        <v/>
      </c>
      <c r="F272" s="41">
        <f>IF(OR($J272="",$J$1=""),"",IF(INDEX(Tarifa!$G$13:$G$512,$J272)="","",IF(NOT(ISNUMBER(INDEX(Tarifa!$G$13:$G$512,$J272))),"Revisa",IF($J$1=1,INDEX(Tarifa!$G$13:$G$512,$J272),ROUND(ROUND(INDEX(Tarifa!$G$13:$G$512,$J272)*(1+$J$2/100)/$J$3,0)*$J$3,2)))))</f>
        <v/>
      </c>
      <c r="G272" s="42">
        <f>IF(OR(NOT(ISNUMBER(F272)),N(E272)&lt;=1),"",ROUND(F272/E272,3))</f>
        <v/>
      </c>
      <c r="H272" s="43">
        <f>IF($J272="","",IF(INDEX(Tarifa!$H$13:$H$512,$J272)="","",INDEX(Tarifa!$H$13:$H$512,$J272)))</f>
        <v/>
      </c>
      <c r="I272" s="41">
        <f>IF(OR($M$3="No",$M$3="",NOT(ISNUMBER(F272))),"",IF(NOT(ISNUMBER(H272)),"Falta IVA",ROUND(F272*(1+(H272+IF($M$3="Con IVA y recargo",IF(H272=21,5.2,IF(H272=10,1.4,IF(H272=4,0.5,0))),0))/100),2)))</f>
        <v/>
      </c>
      <c r="J272">
        <f>IFERROR(MATCH(262,Tarifa!$O$13:$O$512,0),"")</f>
        <v/>
      </c>
    </row>
    <row r="273" ht="17" customHeight="1">
      <c r="A273" s="38">
        <f>IF($J273="","",IFERROR(IF(INDEX(Tarifa!$E$13:$E$512,$J273)&amp;""=INDEX(Tarifa!$E$13:$E$512,$J272)&amp;"","",INDEX(Tarifa!$E$13:$E$512,$J273)&amp;""),""))</f>
        <v/>
      </c>
      <c r="B273" s="39">
        <f>IF($J273="","",INDEX(Tarifa!$A$13:$A$512,$J273)&amp;"")</f>
        <v/>
      </c>
      <c r="C273" s="39">
        <f>IF($J273="","",INDEX(Tarifa!$B$13:$B$512,$J273)&amp;"")</f>
        <v/>
      </c>
      <c r="D273" s="39">
        <f>IF($J273="","",INDEX(Tarifa!$C$13:$C$512,$J273)&amp;"")</f>
        <v/>
      </c>
      <c r="E273" s="40">
        <f>IF($J273="","",IF(INDEX(Tarifa!$D$13:$D$512,$J273)="","",INDEX(Tarifa!$D$13:$D$512,$J273)))</f>
        <v/>
      </c>
      <c r="F273" s="41">
        <f>IF(OR($J273="",$J$1=""),"",IF(INDEX(Tarifa!$G$13:$G$512,$J273)="","",IF(NOT(ISNUMBER(INDEX(Tarifa!$G$13:$G$512,$J273))),"Revisa",IF($J$1=1,INDEX(Tarifa!$G$13:$G$512,$J273),ROUND(ROUND(INDEX(Tarifa!$G$13:$G$512,$J273)*(1+$J$2/100)/$J$3,0)*$J$3,2)))))</f>
        <v/>
      </c>
      <c r="G273" s="42">
        <f>IF(OR(NOT(ISNUMBER(F273)),N(E273)&lt;=1),"",ROUND(F273/E273,3))</f>
        <v/>
      </c>
      <c r="H273" s="43">
        <f>IF($J273="","",IF(INDEX(Tarifa!$H$13:$H$512,$J273)="","",INDEX(Tarifa!$H$13:$H$512,$J273)))</f>
        <v/>
      </c>
      <c r="I273" s="41">
        <f>IF(OR($M$3="No",$M$3="",NOT(ISNUMBER(F273))),"",IF(NOT(ISNUMBER(H273)),"Falta IVA",ROUND(F273*(1+(H273+IF($M$3="Con IVA y recargo",IF(H273=21,5.2,IF(H273=10,1.4,IF(H273=4,0.5,0))),0))/100),2)))</f>
        <v/>
      </c>
      <c r="J273">
        <f>IFERROR(MATCH(263,Tarifa!$O$13:$O$512,0),"")</f>
        <v/>
      </c>
    </row>
    <row r="274" ht="17" customHeight="1">
      <c r="A274" s="38">
        <f>IF($J274="","",IFERROR(IF(INDEX(Tarifa!$E$13:$E$512,$J274)&amp;""=INDEX(Tarifa!$E$13:$E$512,$J273)&amp;"","",INDEX(Tarifa!$E$13:$E$512,$J274)&amp;""),""))</f>
        <v/>
      </c>
      <c r="B274" s="39">
        <f>IF($J274="","",INDEX(Tarifa!$A$13:$A$512,$J274)&amp;"")</f>
        <v/>
      </c>
      <c r="C274" s="39">
        <f>IF($J274="","",INDEX(Tarifa!$B$13:$B$512,$J274)&amp;"")</f>
        <v/>
      </c>
      <c r="D274" s="39">
        <f>IF($J274="","",INDEX(Tarifa!$C$13:$C$512,$J274)&amp;"")</f>
        <v/>
      </c>
      <c r="E274" s="40">
        <f>IF($J274="","",IF(INDEX(Tarifa!$D$13:$D$512,$J274)="","",INDEX(Tarifa!$D$13:$D$512,$J274)))</f>
        <v/>
      </c>
      <c r="F274" s="41">
        <f>IF(OR($J274="",$J$1=""),"",IF(INDEX(Tarifa!$G$13:$G$512,$J274)="","",IF(NOT(ISNUMBER(INDEX(Tarifa!$G$13:$G$512,$J274))),"Revisa",IF($J$1=1,INDEX(Tarifa!$G$13:$G$512,$J274),ROUND(ROUND(INDEX(Tarifa!$G$13:$G$512,$J274)*(1+$J$2/100)/$J$3,0)*$J$3,2)))))</f>
        <v/>
      </c>
      <c r="G274" s="42">
        <f>IF(OR(NOT(ISNUMBER(F274)),N(E274)&lt;=1),"",ROUND(F274/E274,3))</f>
        <v/>
      </c>
      <c r="H274" s="43">
        <f>IF($J274="","",IF(INDEX(Tarifa!$H$13:$H$512,$J274)="","",INDEX(Tarifa!$H$13:$H$512,$J274)))</f>
        <v/>
      </c>
      <c r="I274" s="41">
        <f>IF(OR($M$3="No",$M$3="",NOT(ISNUMBER(F274))),"",IF(NOT(ISNUMBER(H274)),"Falta IVA",ROUND(F274*(1+(H274+IF($M$3="Con IVA y recargo",IF(H274=21,5.2,IF(H274=10,1.4,IF(H274=4,0.5,0))),0))/100),2)))</f>
        <v/>
      </c>
      <c r="J274">
        <f>IFERROR(MATCH(264,Tarifa!$O$13:$O$512,0),"")</f>
        <v/>
      </c>
    </row>
    <row r="275" ht="17" customHeight="1">
      <c r="A275" s="38">
        <f>IF($J275="","",IFERROR(IF(INDEX(Tarifa!$E$13:$E$512,$J275)&amp;""=INDEX(Tarifa!$E$13:$E$512,$J274)&amp;"","",INDEX(Tarifa!$E$13:$E$512,$J275)&amp;""),""))</f>
        <v/>
      </c>
      <c r="B275" s="39">
        <f>IF($J275="","",INDEX(Tarifa!$A$13:$A$512,$J275)&amp;"")</f>
        <v/>
      </c>
      <c r="C275" s="39">
        <f>IF($J275="","",INDEX(Tarifa!$B$13:$B$512,$J275)&amp;"")</f>
        <v/>
      </c>
      <c r="D275" s="39">
        <f>IF($J275="","",INDEX(Tarifa!$C$13:$C$512,$J275)&amp;"")</f>
        <v/>
      </c>
      <c r="E275" s="40">
        <f>IF($J275="","",IF(INDEX(Tarifa!$D$13:$D$512,$J275)="","",INDEX(Tarifa!$D$13:$D$512,$J275)))</f>
        <v/>
      </c>
      <c r="F275" s="41">
        <f>IF(OR($J275="",$J$1=""),"",IF(INDEX(Tarifa!$G$13:$G$512,$J275)="","",IF(NOT(ISNUMBER(INDEX(Tarifa!$G$13:$G$512,$J275))),"Revisa",IF($J$1=1,INDEX(Tarifa!$G$13:$G$512,$J275),ROUND(ROUND(INDEX(Tarifa!$G$13:$G$512,$J275)*(1+$J$2/100)/$J$3,0)*$J$3,2)))))</f>
        <v/>
      </c>
      <c r="G275" s="42">
        <f>IF(OR(NOT(ISNUMBER(F275)),N(E275)&lt;=1),"",ROUND(F275/E275,3))</f>
        <v/>
      </c>
      <c r="H275" s="43">
        <f>IF($J275="","",IF(INDEX(Tarifa!$H$13:$H$512,$J275)="","",INDEX(Tarifa!$H$13:$H$512,$J275)))</f>
        <v/>
      </c>
      <c r="I275" s="41">
        <f>IF(OR($M$3="No",$M$3="",NOT(ISNUMBER(F275))),"",IF(NOT(ISNUMBER(H275)),"Falta IVA",ROUND(F275*(1+(H275+IF($M$3="Con IVA y recargo",IF(H275=21,5.2,IF(H275=10,1.4,IF(H275=4,0.5,0))),0))/100),2)))</f>
        <v/>
      </c>
      <c r="J275">
        <f>IFERROR(MATCH(265,Tarifa!$O$13:$O$512,0),"")</f>
        <v/>
      </c>
    </row>
    <row r="276" ht="17" customHeight="1">
      <c r="A276" s="38">
        <f>IF($J276="","",IFERROR(IF(INDEX(Tarifa!$E$13:$E$512,$J276)&amp;""=INDEX(Tarifa!$E$13:$E$512,$J275)&amp;"","",INDEX(Tarifa!$E$13:$E$512,$J276)&amp;""),""))</f>
        <v/>
      </c>
      <c r="B276" s="39">
        <f>IF($J276="","",INDEX(Tarifa!$A$13:$A$512,$J276)&amp;"")</f>
        <v/>
      </c>
      <c r="C276" s="39">
        <f>IF($J276="","",INDEX(Tarifa!$B$13:$B$512,$J276)&amp;"")</f>
        <v/>
      </c>
      <c r="D276" s="39">
        <f>IF($J276="","",INDEX(Tarifa!$C$13:$C$512,$J276)&amp;"")</f>
        <v/>
      </c>
      <c r="E276" s="40">
        <f>IF($J276="","",IF(INDEX(Tarifa!$D$13:$D$512,$J276)="","",INDEX(Tarifa!$D$13:$D$512,$J276)))</f>
        <v/>
      </c>
      <c r="F276" s="41">
        <f>IF(OR($J276="",$J$1=""),"",IF(INDEX(Tarifa!$G$13:$G$512,$J276)="","",IF(NOT(ISNUMBER(INDEX(Tarifa!$G$13:$G$512,$J276))),"Revisa",IF($J$1=1,INDEX(Tarifa!$G$13:$G$512,$J276),ROUND(ROUND(INDEX(Tarifa!$G$13:$G$512,$J276)*(1+$J$2/100)/$J$3,0)*$J$3,2)))))</f>
        <v/>
      </c>
      <c r="G276" s="42">
        <f>IF(OR(NOT(ISNUMBER(F276)),N(E276)&lt;=1),"",ROUND(F276/E276,3))</f>
        <v/>
      </c>
      <c r="H276" s="43">
        <f>IF($J276="","",IF(INDEX(Tarifa!$H$13:$H$512,$J276)="","",INDEX(Tarifa!$H$13:$H$512,$J276)))</f>
        <v/>
      </c>
      <c r="I276" s="41">
        <f>IF(OR($M$3="No",$M$3="",NOT(ISNUMBER(F276))),"",IF(NOT(ISNUMBER(H276)),"Falta IVA",ROUND(F276*(1+(H276+IF($M$3="Con IVA y recargo",IF(H276=21,5.2,IF(H276=10,1.4,IF(H276=4,0.5,0))),0))/100),2)))</f>
        <v/>
      </c>
      <c r="J276">
        <f>IFERROR(MATCH(266,Tarifa!$O$13:$O$512,0),"")</f>
        <v/>
      </c>
    </row>
    <row r="277" ht="17" customHeight="1">
      <c r="A277" s="38">
        <f>IF($J277="","",IFERROR(IF(INDEX(Tarifa!$E$13:$E$512,$J277)&amp;""=INDEX(Tarifa!$E$13:$E$512,$J276)&amp;"","",INDEX(Tarifa!$E$13:$E$512,$J277)&amp;""),""))</f>
        <v/>
      </c>
      <c r="B277" s="39">
        <f>IF($J277="","",INDEX(Tarifa!$A$13:$A$512,$J277)&amp;"")</f>
        <v/>
      </c>
      <c r="C277" s="39">
        <f>IF($J277="","",INDEX(Tarifa!$B$13:$B$512,$J277)&amp;"")</f>
        <v/>
      </c>
      <c r="D277" s="39">
        <f>IF($J277="","",INDEX(Tarifa!$C$13:$C$512,$J277)&amp;"")</f>
        <v/>
      </c>
      <c r="E277" s="40">
        <f>IF($J277="","",IF(INDEX(Tarifa!$D$13:$D$512,$J277)="","",INDEX(Tarifa!$D$13:$D$512,$J277)))</f>
        <v/>
      </c>
      <c r="F277" s="41">
        <f>IF(OR($J277="",$J$1=""),"",IF(INDEX(Tarifa!$G$13:$G$512,$J277)="","",IF(NOT(ISNUMBER(INDEX(Tarifa!$G$13:$G$512,$J277))),"Revisa",IF($J$1=1,INDEX(Tarifa!$G$13:$G$512,$J277),ROUND(ROUND(INDEX(Tarifa!$G$13:$G$512,$J277)*(1+$J$2/100)/$J$3,0)*$J$3,2)))))</f>
        <v/>
      </c>
      <c r="G277" s="42">
        <f>IF(OR(NOT(ISNUMBER(F277)),N(E277)&lt;=1),"",ROUND(F277/E277,3))</f>
        <v/>
      </c>
      <c r="H277" s="43">
        <f>IF($J277="","",IF(INDEX(Tarifa!$H$13:$H$512,$J277)="","",INDEX(Tarifa!$H$13:$H$512,$J277)))</f>
        <v/>
      </c>
      <c r="I277" s="41">
        <f>IF(OR($M$3="No",$M$3="",NOT(ISNUMBER(F277))),"",IF(NOT(ISNUMBER(H277)),"Falta IVA",ROUND(F277*(1+(H277+IF($M$3="Con IVA y recargo",IF(H277=21,5.2,IF(H277=10,1.4,IF(H277=4,0.5,0))),0))/100),2)))</f>
        <v/>
      </c>
      <c r="J277">
        <f>IFERROR(MATCH(267,Tarifa!$O$13:$O$512,0),"")</f>
        <v/>
      </c>
    </row>
    <row r="278" ht="17" customHeight="1">
      <c r="A278" s="38">
        <f>IF($J278="","",IFERROR(IF(INDEX(Tarifa!$E$13:$E$512,$J278)&amp;""=INDEX(Tarifa!$E$13:$E$512,$J277)&amp;"","",INDEX(Tarifa!$E$13:$E$512,$J278)&amp;""),""))</f>
        <v/>
      </c>
      <c r="B278" s="39">
        <f>IF($J278="","",INDEX(Tarifa!$A$13:$A$512,$J278)&amp;"")</f>
        <v/>
      </c>
      <c r="C278" s="39">
        <f>IF($J278="","",INDEX(Tarifa!$B$13:$B$512,$J278)&amp;"")</f>
        <v/>
      </c>
      <c r="D278" s="39">
        <f>IF($J278="","",INDEX(Tarifa!$C$13:$C$512,$J278)&amp;"")</f>
        <v/>
      </c>
      <c r="E278" s="40">
        <f>IF($J278="","",IF(INDEX(Tarifa!$D$13:$D$512,$J278)="","",INDEX(Tarifa!$D$13:$D$512,$J278)))</f>
        <v/>
      </c>
      <c r="F278" s="41">
        <f>IF(OR($J278="",$J$1=""),"",IF(INDEX(Tarifa!$G$13:$G$512,$J278)="","",IF(NOT(ISNUMBER(INDEX(Tarifa!$G$13:$G$512,$J278))),"Revisa",IF($J$1=1,INDEX(Tarifa!$G$13:$G$512,$J278),ROUND(ROUND(INDEX(Tarifa!$G$13:$G$512,$J278)*(1+$J$2/100)/$J$3,0)*$J$3,2)))))</f>
        <v/>
      </c>
      <c r="G278" s="42">
        <f>IF(OR(NOT(ISNUMBER(F278)),N(E278)&lt;=1),"",ROUND(F278/E278,3))</f>
        <v/>
      </c>
      <c r="H278" s="43">
        <f>IF($J278="","",IF(INDEX(Tarifa!$H$13:$H$512,$J278)="","",INDEX(Tarifa!$H$13:$H$512,$J278)))</f>
        <v/>
      </c>
      <c r="I278" s="41">
        <f>IF(OR($M$3="No",$M$3="",NOT(ISNUMBER(F278))),"",IF(NOT(ISNUMBER(H278)),"Falta IVA",ROUND(F278*(1+(H278+IF($M$3="Con IVA y recargo",IF(H278=21,5.2,IF(H278=10,1.4,IF(H278=4,0.5,0))),0))/100),2)))</f>
        <v/>
      </c>
      <c r="J278">
        <f>IFERROR(MATCH(268,Tarifa!$O$13:$O$512,0),"")</f>
        <v/>
      </c>
    </row>
    <row r="279" ht="17" customHeight="1">
      <c r="A279" s="38">
        <f>IF($J279="","",IFERROR(IF(INDEX(Tarifa!$E$13:$E$512,$J279)&amp;""=INDEX(Tarifa!$E$13:$E$512,$J278)&amp;"","",INDEX(Tarifa!$E$13:$E$512,$J279)&amp;""),""))</f>
        <v/>
      </c>
      <c r="B279" s="39">
        <f>IF($J279="","",INDEX(Tarifa!$A$13:$A$512,$J279)&amp;"")</f>
        <v/>
      </c>
      <c r="C279" s="39">
        <f>IF($J279="","",INDEX(Tarifa!$B$13:$B$512,$J279)&amp;"")</f>
        <v/>
      </c>
      <c r="D279" s="39">
        <f>IF($J279="","",INDEX(Tarifa!$C$13:$C$512,$J279)&amp;"")</f>
        <v/>
      </c>
      <c r="E279" s="40">
        <f>IF($J279="","",IF(INDEX(Tarifa!$D$13:$D$512,$J279)="","",INDEX(Tarifa!$D$13:$D$512,$J279)))</f>
        <v/>
      </c>
      <c r="F279" s="41">
        <f>IF(OR($J279="",$J$1=""),"",IF(INDEX(Tarifa!$G$13:$G$512,$J279)="","",IF(NOT(ISNUMBER(INDEX(Tarifa!$G$13:$G$512,$J279))),"Revisa",IF($J$1=1,INDEX(Tarifa!$G$13:$G$512,$J279),ROUND(ROUND(INDEX(Tarifa!$G$13:$G$512,$J279)*(1+$J$2/100)/$J$3,0)*$J$3,2)))))</f>
        <v/>
      </c>
      <c r="G279" s="42">
        <f>IF(OR(NOT(ISNUMBER(F279)),N(E279)&lt;=1),"",ROUND(F279/E279,3))</f>
        <v/>
      </c>
      <c r="H279" s="43">
        <f>IF($J279="","",IF(INDEX(Tarifa!$H$13:$H$512,$J279)="","",INDEX(Tarifa!$H$13:$H$512,$J279)))</f>
        <v/>
      </c>
      <c r="I279" s="41">
        <f>IF(OR($M$3="No",$M$3="",NOT(ISNUMBER(F279))),"",IF(NOT(ISNUMBER(H279)),"Falta IVA",ROUND(F279*(1+(H279+IF($M$3="Con IVA y recargo",IF(H279=21,5.2,IF(H279=10,1.4,IF(H279=4,0.5,0))),0))/100),2)))</f>
        <v/>
      </c>
      <c r="J279">
        <f>IFERROR(MATCH(269,Tarifa!$O$13:$O$512,0),"")</f>
        <v/>
      </c>
    </row>
    <row r="280" ht="17" customHeight="1">
      <c r="A280" s="38">
        <f>IF($J280="","",IFERROR(IF(INDEX(Tarifa!$E$13:$E$512,$J280)&amp;""=INDEX(Tarifa!$E$13:$E$512,$J279)&amp;"","",INDEX(Tarifa!$E$13:$E$512,$J280)&amp;""),""))</f>
        <v/>
      </c>
      <c r="B280" s="39">
        <f>IF($J280="","",INDEX(Tarifa!$A$13:$A$512,$J280)&amp;"")</f>
        <v/>
      </c>
      <c r="C280" s="39">
        <f>IF($J280="","",INDEX(Tarifa!$B$13:$B$512,$J280)&amp;"")</f>
        <v/>
      </c>
      <c r="D280" s="39">
        <f>IF($J280="","",INDEX(Tarifa!$C$13:$C$512,$J280)&amp;"")</f>
        <v/>
      </c>
      <c r="E280" s="40">
        <f>IF($J280="","",IF(INDEX(Tarifa!$D$13:$D$512,$J280)="","",INDEX(Tarifa!$D$13:$D$512,$J280)))</f>
        <v/>
      </c>
      <c r="F280" s="41">
        <f>IF(OR($J280="",$J$1=""),"",IF(INDEX(Tarifa!$G$13:$G$512,$J280)="","",IF(NOT(ISNUMBER(INDEX(Tarifa!$G$13:$G$512,$J280))),"Revisa",IF($J$1=1,INDEX(Tarifa!$G$13:$G$512,$J280),ROUND(ROUND(INDEX(Tarifa!$G$13:$G$512,$J280)*(1+$J$2/100)/$J$3,0)*$J$3,2)))))</f>
        <v/>
      </c>
      <c r="G280" s="42">
        <f>IF(OR(NOT(ISNUMBER(F280)),N(E280)&lt;=1),"",ROUND(F280/E280,3))</f>
        <v/>
      </c>
      <c r="H280" s="43">
        <f>IF($J280="","",IF(INDEX(Tarifa!$H$13:$H$512,$J280)="","",INDEX(Tarifa!$H$13:$H$512,$J280)))</f>
        <v/>
      </c>
      <c r="I280" s="41">
        <f>IF(OR($M$3="No",$M$3="",NOT(ISNUMBER(F280))),"",IF(NOT(ISNUMBER(H280)),"Falta IVA",ROUND(F280*(1+(H280+IF($M$3="Con IVA y recargo",IF(H280=21,5.2,IF(H280=10,1.4,IF(H280=4,0.5,0))),0))/100),2)))</f>
        <v/>
      </c>
      <c r="J280">
        <f>IFERROR(MATCH(270,Tarifa!$O$13:$O$512,0),"")</f>
        <v/>
      </c>
    </row>
    <row r="281" ht="17" customHeight="1">
      <c r="A281" s="38">
        <f>IF($J281="","",IFERROR(IF(INDEX(Tarifa!$E$13:$E$512,$J281)&amp;""=INDEX(Tarifa!$E$13:$E$512,$J280)&amp;"","",INDEX(Tarifa!$E$13:$E$512,$J281)&amp;""),""))</f>
        <v/>
      </c>
      <c r="B281" s="39">
        <f>IF($J281="","",INDEX(Tarifa!$A$13:$A$512,$J281)&amp;"")</f>
        <v/>
      </c>
      <c r="C281" s="39">
        <f>IF($J281="","",INDEX(Tarifa!$B$13:$B$512,$J281)&amp;"")</f>
        <v/>
      </c>
      <c r="D281" s="39">
        <f>IF($J281="","",INDEX(Tarifa!$C$13:$C$512,$J281)&amp;"")</f>
        <v/>
      </c>
      <c r="E281" s="40">
        <f>IF($J281="","",IF(INDEX(Tarifa!$D$13:$D$512,$J281)="","",INDEX(Tarifa!$D$13:$D$512,$J281)))</f>
        <v/>
      </c>
      <c r="F281" s="41">
        <f>IF(OR($J281="",$J$1=""),"",IF(INDEX(Tarifa!$G$13:$G$512,$J281)="","",IF(NOT(ISNUMBER(INDEX(Tarifa!$G$13:$G$512,$J281))),"Revisa",IF($J$1=1,INDEX(Tarifa!$G$13:$G$512,$J281),ROUND(ROUND(INDEX(Tarifa!$G$13:$G$512,$J281)*(1+$J$2/100)/$J$3,0)*$J$3,2)))))</f>
        <v/>
      </c>
      <c r="G281" s="42">
        <f>IF(OR(NOT(ISNUMBER(F281)),N(E281)&lt;=1),"",ROUND(F281/E281,3))</f>
        <v/>
      </c>
      <c r="H281" s="43">
        <f>IF($J281="","",IF(INDEX(Tarifa!$H$13:$H$512,$J281)="","",INDEX(Tarifa!$H$13:$H$512,$J281)))</f>
        <v/>
      </c>
      <c r="I281" s="41">
        <f>IF(OR($M$3="No",$M$3="",NOT(ISNUMBER(F281))),"",IF(NOT(ISNUMBER(H281)),"Falta IVA",ROUND(F281*(1+(H281+IF($M$3="Con IVA y recargo",IF(H281=21,5.2,IF(H281=10,1.4,IF(H281=4,0.5,0))),0))/100),2)))</f>
        <v/>
      </c>
      <c r="J281">
        <f>IFERROR(MATCH(271,Tarifa!$O$13:$O$512,0),"")</f>
        <v/>
      </c>
    </row>
    <row r="282" ht="17" customHeight="1">
      <c r="A282" s="38">
        <f>IF($J282="","",IFERROR(IF(INDEX(Tarifa!$E$13:$E$512,$J282)&amp;""=INDEX(Tarifa!$E$13:$E$512,$J281)&amp;"","",INDEX(Tarifa!$E$13:$E$512,$J282)&amp;""),""))</f>
        <v/>
      </c>
      <c r="B282" s="39">
        <f>IF($J282="","",INDEX(Tarifa!$A$13:$A$512,$J282)&amp;"")</f>
        <v/>
      </c>
      <c r="C282" s="39">
        <f>IF($J282="","",INDEX(Tarifa!$B$13:$B$512,$J282)&amp;"")</f>
        <v/>
      </c>
      <c r="D282" s="39">
        <f>IF($J282="","",INDEX(Tarifa!$C$13:$C$512,$J282)&amp;"")</f>
        <v/>
      </c>
      <c r="E282" s="40">
        <f>IF($J282="","",IF(INDEX(Tarifa!$D$13:$D$512,$J282)="","",INDEX(Tarifa!$D$13:$D$512,$J282)))</f>
        <v/>
      </c>
      <c r="F282" s="41">
        <f>IF(OR($J282="",$J$1=""),"",IF(INDEX(Tarifa!$G$13:$G$512,$J282)="","",IF(NOT(ISNUMBER(INDEX(Tarifa!$G$13:$G$512,$J282))),"Revisa",IF($J$1=1,INDEX(Tarifa!$G$13:$G$512,$J282),ROUND(ROUND(INDEX(Tarifa!$G$13:$G$512,$J282)*(1+$J$2/100)/$J$3,0)*$J$3,2)))))</f>
        <v/>
      </c>
      <c r="G282" s="42">
        <f>IF(OR(NOT(ISNUMBER(F282)),N(E282)&lt;=1),"",ROUND(F282/E282,3))</f>
        <v/>
      </c>
      <c r="H282" s="43">
        <f>IF($J282="","",IF(INDEX(Tarifa!$H$13:$H$512,$J282)="","",INDEX(Tarifa!$H$13:$H$512,$J282)))</f>
        <v/>
      </c>
      <c r="I282" s="41">
        <f>IF(OR($M$3="No",$M$3="",NOT(ISNUMBER(F282))),"",IF(NOT(ISNUMBER(H282)),"Falta IVA",ROUND(F282*(1+(H282+IF($M$3="Con IVA y recargo",IF(H282=21,5.2,IF(H282=10,1.4,IF(H282=4,0.5,0))),0))/100),2)))</f>
        <v/>
      </c>
      <c r="J282">
        <f>IFERROR(MATCH(272,Tarifa!$O$13:$O$512,0),"")</f>
        <v/>
      </c>
    </row>
    <row r="283" ht="17" customHeight="1">
      <c r="A283" s="38">
        <f>IF($J283="","",IFERROR(IF(INDEX(Tarifa!$E$13:$E$512,$J283)&amp;""=INDEX(Tarifa!$E$13:$E$512,$J282)&amp;"","",INDEX(Tarifa!$E$13:$E$512,$J283)&amp;""),""))</f>
        <v/>
      </c>
      <c r="B283" s="39">
        <f>IF($J283="","",INDEX(Tarifa!$A$13:$A$512,$J283)&amp;"")</f>
        <v/>
      </c>
      <c r="C283" s="39">
        <f>IF($J283="","",INDEX(Tarifa!$B$13:$B$512,$J283)&amp;"")</f>
        <v/>
      </c>
      <c r="D283" s="39">
        <f>IF($J283="","",INDEX(Tarifa!$C$13:$C$512,$J283)&amp;"")</f>
        <v/>
      </c>
      <c r="E283" s="40">
        <f>IF($J283="","",IF(INDEX(Tarifa!$D$13:$D$512,$J283)="","",INDEX(Tarifa!$D$13:$D$512,$J283)))</f>
        <v/>
      </c>
      <c r="F283" s="41">
        <f>IF(OR($J283="",$J$1=""),"",IF(INDEX(Tarifa!$G$13:$G$512,$J283)="","",IF(NOT(ISNUMBER(INDEX(Tarifa!$G$13:$G$512,$J283))),"Revisa",IF($J$1=1,INDEX(Tarifa!$G$13:$G$512,$J283),ROUND(ROUND(INDEX(Tarifa!$G$13:$G$512,$J283)*(1+$J$2/100)/$J$3,0)*$J$3,2)))))</f>
        <v/>
      </c>
      <c r="G283" s="42">
        <f>IF(OR(NOT(ISNUMBER(F283)),N(E283)&lt;=1),"",ROUND(F283/E283,3))</f>
        <v/>
      </c>
      <c r="H283" s="43">
        <f>IF($J283="","",IF(INDEX(Tarifa!$H$13:$H$512,$J283)="","",INDEX(Tarifa!$H$13:$H$512,$J283)))</f>
        <v/>
      </c>
      <c r="I283" s="41">
        <f>IF(OR($M$3="No",$M$3="",NOT(ISNUMBER(F283))),"",IF(NOT(ISNUMBER(H283)),"Falta IVA",ROUND(F283*(1+(H283+IF($M$3="Con IVA y recargo",IF(H283=21,5.2,IF(H283=10,1.4,IF(H283=4,0.5,0))),0))/100),2)))</f>
        <v/>
      </c>
      <c r="J283">
        <f>IFERROR(MATCH(273,Tarifa!$O$13:$O$512,0),"")</f>
        <v/>
      </c>
    </row>
    <row r="284" ht="17" customHeight="1">
      <c r="A284" s="38">
        <f>IF($J284="","",IFERROR(IF(INDEX(Tarifa!$E$13:$E$512,$J284)&amp;""=INDEX(Tarifa!$E$13:$E$512,$J283)&amp;"","",INDEX(Tarifa!$E$13:$E$512,$J284)&amp;""),""))</f>
        <v/>
      </c>
      <c r="B284" s="39">
        <f>IF($J284="","",INDEX(Tarifa!$A$13:$A$512,$J284)&amp;"")</f>
        <v/>
      </c>
      <c r="C284" s="39">
        <f>IF($J284="","",INDEX(Tarifa!$B$13:$B$512,$J284)&amp;"")</f>
        <v/>
      </c>
      <c r="D284" s="39">
        <f>IF($J284="","",INDEX(Tarifa!$C$13:$C$512,$J284)&amp;"")</f>
        <v/>
      </c>
      <c r="E284" s="40">
        <f>IF($J284="","",IF(INDEX(Tarifa!$D$13:$D$512,$J284)="","",INDEX(Tarifa!$D$13:$D$512,$J284)))</f>
        <v/>
      </c>
      <c r="F284" s="41">
        <f>IF(OR($J284="",$J$1=""),"",IF(INDEX(Tarifa!$G$13:$G$512,$J284)="","",IF(NOT(ISNUMBER(INDEX(Tarifa!$G$13:$G$512,$J284))),"Revisa",IF($J$1=1,INDEX(Tarifa!$G$13:$G$512,$J284),ROUND(ROUND(INDEX(Tarifa!$G$13:$G$512,$J284)*(1+$J$2/100)/$J$3,0)*$J$3,2)))))</f>
        <v/>
      </c>
      <c r="G284" s="42">
        <f>IF(OR(NOT(ISNUMBER(F284)),N(E284)&lt;=1),"",ROUND(F284/E284,3))</f>
        <v/>
      </c>
      <c r="H284" s="43">
        <f>IF($J284="","",IF(INDEX(Tarifa!$H$13:$H$512,$J284)="","",INDEX(Tarifa!$H$13:$H$512,$J284)))</f>
        <v/>
      </c>
      <c r="I284" s="41">
        <f>IF(OR($M$3="No",$M$3="",NOT(ISNUMBER(F284))),"",IF(NOT(ISNUMBER(H284)),"Falta IVA",ROUND(F284*(1+(H284+IF($M$3="Con IVA y recargo",IF(H284=21,5.2,IF(H284=10,1.4,IF(H284=4,0.5,0))),0))/100),2)))</f>
        <v/>
      </c>
      <c r="J284">
        <f>IFERROR(MATCH(274,Tarifa!$O$13:$O$512,0),"")</f>
        <v/>
      </c>
    </row>
    <row r="285" ht="17" customHeight="1">
      <c r="A285" s="38">
        <f>IF($J285="","",IFERROR(IF(INDEX(Tarifa!$E$13:$E$512,$J285)&amp;""=INDEX(Tarifa!$E$13:$E$512,$J284)&amp;"","",INDEX(Tarifa!$E$13:$E$512,$J285)&amp;""),""))</f>
        <v/>
      </c>
      <c r="B285" s="39">
        <f>IF($J285="","",INDEX(Tarifa!$A$13:$A$512,$J285)&amp;"")</f>
        <v/>
      </c>
      <c r="C285" s="39">
        <f>IF($J285="","",INDEX(Tarifa!$B$13:$B$512,$J285)&amp;"")</f>
        <v/>
      </c>
      <c r="D285" s="39">
        <f>IF($J285="","",INDEX(Tarifa!$C$13:$C$512,$J285)&amp;"")</f>
        <v/>
      </c>
      <c r="E285" s="40">
        <f>IF($J285="","",IF(INDEX(Tarifa!$D$13:$D$512,$J285)="","",INDEX(Tarifa!$D$13:$D$512,$J285)))</f>
        <v/>
      </c>
      <c r="F285" s="41">
        <f>IF(OR($J285="",$J$1=""),"",IF(INDEX(Tarifa!$G$13:$G$512,$J285)="","",IF(NOT(ISNUMBER(INDEX(Tarifa!$G$13:$G$512,$J285))),"Revisa",IF($J$1=1,INDEX(Tarifa!$G$13:$G$512,$J285),ROUND(ROUND(INDEX(Tarifa!$G$13:$G$512,$J285)*(1+$J$2/100)/$J$3,0)*$J$3,2)))))</f>
        <v/>
      </c>
      <c r="G285" s="42">
        <f>IF(OR(NOT(ISNUMBER(F285)),N(E285)&lt;=1),"",ROUND(F285/E285,3))</f>
        <v/>
      </c>
      <c r="H285" s="43">
        <f>IF($J285="","",IF(INDEX(Tarifa!$H$13:$H$512,$J285)="","",INDEX(Tarifa!$H$13:$H$512,$J285)))</f>
        <v/>
      </c>
      <c r="I285" s="41">
        <f>IF(OR($M$3="No",$M$3="",NOT(ISNUMBER(F285))),"",IF(NOT(ISNUMBER(H285)),"Falta IVA",ROUND(F285*(1+(H285+IF($M$3="Con IVA y recargo",IF(H285=21,5.2,IF(H285=10,1.4,IF(H285=4,0.5,0))),0))/100),2)))</f>
        <v/>
      </c>
      <c r="J285">
        <f>IFERROR(MATCH(275,Tarifa!$O$13:$O$512,0),"")</f>
        <v/>
      </c>
    </row>
    <row r="286" ht="17" customHeight="1">
      <c r="A286" s="38">
        <f>IF($J286="","",IFERROR(IF(INDEX(Tarifa!$E$13:$E$512,$J286)&amp;""=INDEX(Tarifa!$E$13:$E$512,$J285)&amp;"","",INDEX(Tarifa!$E$13:$E$512,$J286)&amp;""),""))</f>
        <v/>
      </c>
      <c r="B286" s="39">
        <f>IF($J286="","",INDEX(Tarifa!$A$13:$A$512,$J286)&amp;"")</f>
        <v/>
      </c>
      <c r="C286" s="39">
        <f>IF($J286="","",INDEX(Tarifa!$B$13:$B$512,$J286)&amp;"")</f>
        <v/>
      </c>
      <c r="D286" s="39">
        <f>IF($J286="","",INDEX(Tarifa!$C$13:$C$512,$J286)&amp;"")</f>
        <v/>
      </c>
      <c r="E286" s="40">
        <f>IF($J286="","",IF(INDEX(Tarifa!$D$13:$D$512,$J286)="","",INDEX(Tarifa!$D$13:$D$512,$J286)))</f>
        <v/>
      </c>
      <c r="F286" s="41">
        <f>IF(OR($J286="",$J$1=""),"",IF(INDEX(Tarifa!$G$13:$G$512,$J286)="","",IF(NOT(ISNUMBER(INDEX(Tarifa!$G$13:$G$512,$J286))),"Revisa",IF($J$1=1,INDEX(Tarifa!$G$13:$G$512,$J286),ROUND(ROUND(INDEX(Tarifa!$G$13:$G$512,$J286)*(1+$J$2/100)/$J$3,0)*$J$3,2)))))</f>
        <v/>
      </c>
      <c r="G286" s="42">
        <f>IF(OR(NOT(ISNUMBER(F286)),N(E286)&lt;=1),"",ROUND(F286/E286,3))</f>
        <v/>
      </c>
      <c r="H286" s="43">
        <f>IF($J286="","",IF(INDEX(Tarifa!$H$13:$H$512,$J286)="","",INDEX(Tarifa!$H$13:$H$512,$J286)))</f>
        <v/>
      </c>
      <c r="I286" s="41">
        <f>IF(OR($M$3="No",$M$3="",NOT(ISNUMBER(F286))),"",IF(NOT(ISNUMBER(H286)),"Falta IVA",ROUND(F286*(1+(H286+IF($M$3="Con IVA y recargo",IF(H286=21,5.2,IF(H286=10,1.4,IF(H286=4,0.5,0))),0))/100),2)))</f>
        <v/>
      </c>
      <c r="J286">
        <f>IFERROR(MATCH(276,Tarifa!$O$13:$O$512,0),"")</f>
        <v/>
      </c>
    </row>
    <row r="287" ht="17" customHeight="1">
      <c r="A287" s="38">
        <f>IF($J287="","",IFERROR(IF(INDEX(Tarifa!$E$13:$E$512,$J287)&amp;""=INDEX(Tarifa!$E$13:$E$512,$J286)&amp;"","",INDEX(Tarifa!$E$13:$E$512,$J287)&amp;""),""))</f>
        <v/>
      </c>
      <c r="B287" s="39">
        <f>IF($J287="","",INDEX(Tarifa!$A$13:$A$512,$J287)&amp;"")</f>
        <v/>
      </c>
      <c r="C287" s="39">
        <f>IF($J287="","",INDEX(Tarifa!$B$13:$B$512,$J287)&amp;"")</f>
        <v/>
      </c>
      <c r="D287" s="39">
        <f>IF($J287="","",INDEX(Tarifa!$C$13:$C$512,$J287)&amp;"")</f>
        <v/>
      </c>
      <c r="E287" s="40">
        <f>IF($J287="","",IF(INDEX(Tarifa!$D$13:$D$512,$J287)="","",INDEX(Tarifa!$D$13:$D$512,$J287)))</f>
        <v/>
      </c>
      <c r="F287" s="41">
        <f>IF(OR($J287="",$J$1=""),"",IF(INDEX(Tarifa!$G$13:$G$512,$J287)="","",IF(NOT(ISNUMBER(INDEX(Tarifa!$G$13:$G$512,$J287))),"Revisa",IF($J$1=1,INDEX(Tarifa!$G$13:$G$512,$J287),ROUND(ROUND(INDEX(Tarifa!$G$13:$G$512,$J287)*(1+$J$2/100)/$J$3,0)*$J$3,2)))))</f>
        <v/>
      </c>
      <c r="G287" s="42">
        <f>IF(OR(NOT(ISNUMBER(F287)),N(E287)&lt;=1),"",ROUND(F287/E287,3))</f>
        <v/>
      </c>
      <c r="H287" s="43">
        <f>IF($J287="","",IF(INDEX(Tarifa!$H$13:$H$512,$J287)="","",INDEX(Tarifa!$H$13:$H$512,$J287)))</f>
        <v/>
      </c>
      <c r="I287" s="41">
        <f>IF(OR($M$3="No",$M$3="",NOT(ISNUMBER(F287))),"",IF(NOT(ISNUMBER(H287)),"Falta IVA",ROUND(F287*(1+(H287+IF($M$3="Con IVA y recargo",IF(H287=21,5.2,IF(H287=10,1.4,IF(H287=4,0.5,0))),0))/100),2)))</f>
        <v/>
      </c>
      <c r="J287">
        <f>IFERROR(MATCH(277,Tarifa!$O$13:$O$512,0),"")</f>
        <v/>
      </c>
    </row>
    <row r="288" ht="17" customHeight="1">
      <c r="A288" s="38">
        <f>IF($J288="","",IFERROR(IF(INDEX(Tarifa!$E$13:$E$512,$J288)&amp;""=INDEX(Tarifa!$E$13:$E$512,$J287)&amp;"","",INDEX(Tarifa!$E$13:$E$512,$J288)&amp;""),""))</f>
        <v/>
      </c>
      <c r="B288" s="39">
        <f>IF($J288="","",INDEX(Tarifa!$A$13:$A$512,$J288)&amp;"")</f>
        <v/>
      </c>
      <c r="C288" s="39">
        <f>IF($J288="","",INDEX(Tarifa!$B$13:$B$512,$J288)&amp;"")</f>
        <v/>
      </c>
      <c r="D288" s="39">
        <f>IF($J288="","",INDEX(Tarifa!$C$13:$C$512,$J288)&amp;"")</f>
        <v/>
      </c>
      <c r="E288" s="40">
        <f>IF($J288="","",IF(INDEX(Tarifa!$D$13:$D$512,$J288)="","",INDEX(Tarifa!$D$13:$D$512,$J288)))</f>
        <v/>
      </c>
      <c r="F288" s="41">
        <f>IF(OR($J288="",$J$1=""),"",IF(INDEX(Tarifa!$G$13:$G$512,$J288)="","",IF(NOT(ISNUMBER(INDEX(Tarifa!$G$13:$G$512,$J288))),"Revisa",IF($J$1=1,INDEX(Tarifa!$G$13:$G$512,$J288),ROUND(ROUND(INDEX(Tarifa!$G$13:$G$512,$J288)*(1+$J$2/100)/$J$3,0)*$J$3,2)))))</f>
        <v/>
      </c>
      <c r="G288" s="42">
        <f>IF(OR(NOT(ISNUMBER(F288)),N(E288)&lt;=1),"",ROUND(F288/E288,3))</f>
        <v/>
      </c>
      <c r="H288" s="43">
        <f>IF($J288="","",IF(INDEX(Tarifa!$H$13:$H$512,$J288)="","",INDEX(Tarifa!$H$13:$H$512,$J288)))</f>
        <v/>
      </c>
      <c r="I288" s="41">
        <f>IF(OR($M$3="No",$M$3="",NOT(ISNUMBER(F288))),"",IF(NOT(ISNUMBER(H288)),"Falta IVA",ROUND(F288*(1+(H288+IF($M$3="Con IVA y recargo",IF(H288=21,5.2,IF(H288=10,1.4,IF(H288=4,0.5,0))),0))/100),2)))</f>
        <v/>
      </c>
      <c r="J288">
        <f>IFERROR(MATCH(278,Tarifa!$O$13:$O$512,0),"")</f>
        <v/>
      </c>
    </row>
    <row r="289" ht="17" customHeight="1">
      <c r="A289" s="38">
        <f>IF($J289="","",IFERROR(IF(INDEX(Tarifa!$E$13:$E$512,$J289)&amp;""=INDEX(Tarifa!$E$13:$E$512,$J288)&amp;"","",INDEX(Tarifa!$E$13:$E$512,$J289)&amp;""),""))</f>
        <v/>
      </c>
      <c r="B289" s="39">
        <f>IF($J289="","",INDEX(Tarifa!$A$13:$A$512,$J289)&amp;"")</f>
        <v/>
      </c>
      <c r="C289" s="39">
        <f>IF($J289="","",INDEX(Tarifa!$B$13:$B$512,$J289)&amp;"")</f>
        <v/>
      </c>
      <c r="D289" s="39">
        <f>IF($J289="","",INDEX(Tarifa!$C$13:$C$512,$J289)&amp;"")</f>
        <v/>
      </c>
      <c r="E289" s="40">
        <f>IF($J289="","",IF(INDEX(Tarifa!$D$13:$D$512,$J289)="","",INDEX(Tarifa!$D$13:$D$512,$J289)))</f>
        <v/>
      </c>
      <c r="F289" s="41">
        <f>IF(OR($J289="",$J$1=""),"",IF(INDEX(Tarifa!$G$13:$G$512,$J289)="","",IF(NOT(ISNUMBER(INDEX(Tarifa!$G$13:$G$512,$J289))),"Revisa",IF($J$1=1,INDEX(Tarifa!$G$13:$G$512,$J289),ROUND(ROUND(INDEX(Tarifa!$G$13:$G$512,$J289)*(1+$J$2/100)/$J$3,0)*$J$3,2)))))</f>
        <v/>
      </c>
      <c r="G289" s="42">
        <f>IF(OR(NOT(ISNUMBER(F289)),N(E289)&lt;=1),"",ROUND(F289/E289,3))</f>
        <v/>
      </c>
      <c r="H289" s="43">
        <f>IF($J289="","",IF(INDEX(Tarifa!$H$13:$H$512,$J289)="","",INDEX(Tarifa!$H$13:$H$512,$J289)))</f>
        <v/>
      </c>
      <c r="I289" s="41">
        <f>IF(OR($M$3="No",$M$3="",NOT(ISNUMBER(F289))),"",IF(NOT(ISNUMBER(H289)),"Falta IVA",ROUND(F289*(1+(H289+IF($M$3="Con IVA y recargo",IF(H289=21,5.2,IF(H289=10,1.4,IF(H289=4,0.5,0))),0))/100),2)))</f>
        <v/>
      </c>
      <c r="J289">
        <f>IFERROR(MATCH(279,Tarifa!$O$13:$O$512,0),"")</f>
        <v/>
      </c>
    </row>
    <row r="290" ht="17" customHeight="1">
      <c r="A290" s="38">
        <f>IF($J290="","",IFERROR(IF(INDEX(Tarifa!$E$13:$E$512,$J290)&amp;""=INDEX(Tarifa!$E$13:$E$512,$J289)&amp;"","",INDEX(Tarifa!$E$13:$E$512,$J290)&amp;""),""))</f>
        <v/>
      </c>
      <c r="B290" s="39">
        <f>IF($J290="","",INDEX(Tarifa!$A$13:$A$512,$J290)&amp;"")</f>
        <v/>
      </c>
      <c r="C290" s="39">
        <f>IF($J290="","",INDEX(Tarifa!$B$13:$B$512,$J290)&amp;"")</f>
        <v/>
      </c>
      <c r="D290" s="39">
        <f>IF($J290="","",INDEX(Tarifa!$C$13:$C$512,$J290)&amp;"")</f>
        <v/>
      </c>
      <c r="E290" s="40">
        <f>IF($J290="","",IF(INDEX(Tarifa!$D$13:$D$512,$J290)="","",INDEX(Tarifa!$D$13:$D$512,$J290)))</f>
        <v/>
      </c>
      <c r="F290" s="41">
        <f>IF(OR($J290="",$J$1=""),"",IF(INDEX(Tarifa!$G$13:$G$512,$J290)="","",IF(NOT(ISNUMBER(INDEX(Tarifa!$G$13:$G$512,$J290))),"Revisa",IF($J$1=1,INDEX(Tarifa!$G$13:$G$512,$J290),ROUND(ROUND(INDEX(Tarifa!$G$13:$G$512,$J290)*(1+$J$2/100)/$J$3,0)*$J$3,2)))))</f>
        <v/>
      </c>
      <c r="G290" s="42">
        <f>IF(OR(NOT(ISNUMBER(F290)),N(E290)&lt;=1),"",ROUND(F290/E290,3))</f>
        <v/>
      </c>
      <c r="H290" s="43">
        <f>IF($J290="","",IF(INDEX(Tarifa!$H$13:$H$512,$J290)="","",INDEX(Tarifa!$H$13:$H$512,$J290)))</f>
        <v/>
      </c>
      <c r="I290" s="41">
        <f>IF(OR($M$3="No",$M$3="",NOT(ISNUMBER(F290))),"",IF(NOT(ISNUMBER(H290)),"Falta IVA",ROUND(F290*(1+(H290+IF($M$3="Con IVA y recargo",IF(H290=21,5.2,IF(H290=10,1.4,IF(H290=4,0.5,0))),0))/100),2)))</f>
        <v/>
      </c>
      <c r="J290">
        <f>IFERROR(MATCH(280,Tarifa!$O$13:$O$512,0),"")</f>
        <v/>
      </c>
    </row>
    <row r="291" ht="17" customHeight="1">
      <c r="A291" s="38">
        <f>IF($J291="","",IFERROR(IF(INDEX(Tarifa!$E$13:$E$512,$J291)&amp;""=INDEX(Tarifa!$E$13:$E$512,$J290)&amp;"","",INDEX(Tarifa!$E$13:$E$512,$J291)&amp;""),""))</f>
        <v/>
      </c>
      <c r="B291" s="39">
        <f>IF($J291="","",INDEX(Tarifa!$A$13:$A$512,$J291)&amp;"")</f>
        <v/>
      </c>
      <c r="C291" s="39">
        <f>IF($J291="","",INDEX(Tarifa!$B$13:$B$512,$J291)&amp;"")</f>
        <v/>
      </c>
      <c r="D291" s="39">
        <f>IF($J291="","",INDEX(Tarifa!$C$13:$C$512,$J291)&amp;"")</f>
        <v/>
      </c>
      <c r="E291" s="40">
        <f>IF($J291="","",IF(INDEX(Tarifa!$D$13:$D$512,$J291)="","",INDEX(Tarifa!$D$13:$D$512,$J291)))</f>
        <v/>
      </c>
      <c r="F291" s="41">
        <f>IF(OR($J291="",$J$1=""),"",IF(INDEX(Tarifa!$G$13:$G$512,$J291)="","",IF(NOT(ISNUMBER(INDEX(Tarifa!$G$13:$G$512,$J291))),"Revisa",IF($J$1=1,INDEX(Tarifa!$G$13:$G$512,$J291),ROUND(ROUND(INDEX(Tarifa!$G$13:$G$512,$J291)*(1+$J$2/100)/$J$3,0)*$J$3,2)))))</f>
        <v/>
      </c>
      <c r="G291" s="42">
        <f>IF(OR(NOT(ISNUMBER(F291)),N(E291)&lt;=1),"",ROUND(F291/E291,3))</f>
        <v/>
      </c>
      <c r="H291" s="43">
        <f>IF($J291="","",IF(INDEX(Tarifa!$H$13:$H$512,$J291)="","",INDEX(Tarifa!$H$13:$H$512,$J291)))</f>
        <v/>
      </c>
      <c r="I291" s="41">
        <f>IF(OR($M$3="No",$M$3="",NOT(ISNUMBER(F291))),"",IF(NOT(ISNUMBER(H291)),"Falta IVA",ROUND(F291*(1+(H291+IF($M$3="Con IVA y recargo",IF(H291=21,5.2,IF(H291=10,1.4,IF(H291=4,0.5,0))),0))/100),2)))</f>
        <v/>
      </c>
      <c r="J291">
        <f>IFERROR(MATCH(281,Tarifa!$O$13:$O$512,0),"")</f>
        <v/>
      </c>
    </row>
    <row r="292" ht="17" customHeight="1">
      <c r="A292" s="38">
        <f>IF($J292="","",IFERROR(IF(INDEX(Tarifa!$E$13:$E$512,$J292)&amp;""=INDEX(Tarifa!$E$13:$E$512,$J291)&amp;"","",INDEX(Tarifa!$E$13:$E$512,$J292)&amp;""),""))</f>
        <v/>
      </c>
      <c r="B292" s="39">
        <f>IF($J292="","",INDEX(Tarifa!$A$13:$A$512,$J292)&amp;"")</f>
        <v/>
      </c>
      <c r="C292" s="39">
        <f>IF($J292="","",INDEX(Tarifa!$B$13:$B$512,$J292)&amp;"")</f>
        <v/>
      </c>
      <c r="D292" s="39">
        <f>IF($J292="","",INDEX(Tarifa!$C$13:$C$512,$J292)&amp;"")</f>
        <v/>
      </c>
      <c r="E292" s="40">
        <f>IF($J292="","",IF(INDEX(Tarifa!$D$13:$D$512,$J292)="","",INDEX(Tarifa!$D$13:$D$512,$J292)))</f>
        <v/>
      </c>
      <c r="F292" s="41">
        <f>IF(OR($J292="",$J$1=""),"",IF(INDEX(Tarifa!$G$13:$G$512,$J292)="","",IF(NOT(ISNUMBER(INDEX(Tarifa!$G$13:$G$512,$J292))),"Revisa",IF($J$1=1,INDEX(Tarifa!$G$13:$G$512,$J292),ROUND(ROUND(INDEX(Tarifa!$G$13:$G$512,$J292)*(1+$J$2/100)/$J$3,0)*$J$3,2)))))</f>
        <v/>
      </c>
      <c r="G292" s="42">
        <f>IF(OR(NOT(ISNUMBER(F292)),N(E292)&lt;=1),"",ROUND(F292/E292,3))</f>
        <v/>
      </c>
      <c r="H292" s="43">
        <f>IF($J292="","",IF(INDEX(Tarifa!$H$13:$H$512,$J292)="","",INDEX(Tarifa!$H$13:$H$512,$J292)))</f>
        <v/>
      </c>
      <c r="I292" s="41">
        <f>IF(OR($M$3="No",$M$3="",NOT(ISNUMBER(F292))),"",IF(NOT(ISNUMBER(H292)),"Falta IVA",ROUND(F292*(1+(H292+IF($M$3="Con IVA y recargo",IF(H292=21,5.2,IF(H292=10,1.4,IF(H292=4,0.5,0))),0))/100),2)))</f>
        <v/>
      </c>
      <c r="J292">
        <f>IFERROR(MATCH(282,Tarifa!$O$13:$O$512,0),"")</f>
        <v/>
      </c>
    </row>
    <row r="293" ht="17" customHeight="1">
      <c r="A293" s="38">
        <f>IF($J293="","",IFERROR(IF(INDEX(Tarifa!$E$13:$E$512,$J293)&amp;""=INDEX(Tarifa!$E$13:$E$512,$J292)&amp;"","",INDEX(Tarifa!$E$13:$E$512,$J293)&amp;""),""))</f>
        <v/>
      </c>
      <c r="B293" s="39">
        <f>IF($J293="","",INDEX(Tarifa!$A$13:$A$512,$J293)&amp;"")</f>
        <v/>
      </c>
      <c r="C293" s="39">
        <f>IF($J293="","",INDEX(Tarifa!$B$13:$B$512,$J293)&amp;"")</f>
        <v/>
      </c>
      <c r="D293" s="39">
        <f>IF($J293="","",INDEX(Tarifa!$C$13:$C$512,$J293)&amp;"")</f>
        <v/>
      </c>
      <c r="E293" s="40">
        <f>IF($J293="","",IF(INDEX(Tarifa!$D$13:$D$512,$J293)="","",INDEX(Tarifa!$D$13:$D$512,$J293)))</f>
        <v/>
      </c>
      <c r="F293" s="41">
        <f>IF(OR($J293="",$J$1=""),"",IF(INDEX(Tarifa!$G$13:$G$512,$J293)="","",IF(NOT(ISNUMBER(INDEX(Tarifa!$G$13:$G$512,$J293))),"Revisa",IF($J$1=1,INDEX(Tarifa!$G$13:$G$512,$J293),ROUND(ROUND(INDEX(Tarifa!$G$13:$G$512,$J293)*(1+$J$2/100)/$J$3,0)*$J$3,2)))))</f>
        <v/>
      </c>
      <c r="G293" s="42">
        <f>IF(OR(NOT(ISNUMBER(F293)),N(E293)&lt;=1),"",ROUND(F293/E293,3))</f>
        <v/>
      </c>
      <c r="H293" s="43">
        <f>IF($J293="","",IF(INDEX(Tarifa!$H$13:$H$512,$J293)="","",INDEX(Tarifa!$H$13:$H$512,$J293)))</f>
        <v/>
      </c>
      <c r="I293" s="41">
        <f>IF(OR($M$3="No",$M$3="",NOT(ISNUMBER(F293))),"",IF(NOT(ISNUMBER(H293)),"Falta IVA",ROUND(F293*(1+(H293+IF($M$3="Con IVA y recargo",IF(H293=21,5.2,IF(H293=10,1.4,IF(H293=4,0.5,0))),0))/100),2)))</f>
        <v/>
      </c>
      <c r="J293">
        <f>IFERROR(MATCH(283,Tarifa!$O$13:$O$512,0),"")</f>
        <v/>
      </c>
    </row>
    <row r="294" ht="17" customHeight="1">
      <c r="A294" s="38">
        <f>IF($J294="","",IFERROR(IF(INDEX(Tarifa!$E$13:$E$512,$J294)&amp;""=INDEX(Tarifa!$E$13:$E$512,$J293)&amp;"","",INDEX(Tarifa!$E$13:$E$512,$J294)&amp;""),""))</f>
        <v/>
      </c>
      <c r="B294" s="39">
        <f>IF($J294="","",INDEX(Tarifa!$A$13:$A$512,$J294)&amp;"")</f>
        <v/>
      </c>
      <c r="C294" s="39">
        <f>IF($J294="","",INDEX(Tarifa!$B$13:$B$512,$J294)&amp;"")</f>
        <v/>
      </c>
      <c r="D294" s="39">
        <f>IF($J294="","",INDEX(Tarifa!$C$13:$C$512,$J294)&amp;"")</f>
        <v/>
      </c>
      <c r="E294" s="40">
        <f>IF($J294="","",IF(INDEX(Tarifa!$D$13:$D$512,$J294)="","",INDEX(Tarifa!$D$13:$D$512,$J294)))</f>
        <v/>
      </c>
      <c r="F294" s="41">
        <f>IF(OR($J294="",$J$1=""),"",IF(INDEX(Tarifa!$G$13:$G$512,$J294)="","",IF(NOT(ISNUMBER(INDEX(Tarifa!$G$13:$G$512,$J294))),"Revisa",IF($J$1=1,INDEX(Tarifa!$G$13:$G$512,$J294),ROUND(ROUND(INDEX(Tarifa!$G$13:$G$512,$J294)*(1+$J$2/100)/$J$3,0)*$J$3,2)))))</f>
        <v/>
      </c>
      <c r="G294" s="42">
        <f>IF(OR(NOT(ISNUMBER(F294)),N(E294)&lt;=1),"",ROUND(F294/E294,3))</f>
        <v/>
      </c>
      <c r="H294" s="43">
        <f>IF($J294="","",IF(INDEX(Tarifa!$H$13:$H$512,$J294)="","",INDEX(Tarifa!$H$13:$H$512,$J294)))</f>
        <v/>
      </c>
      <c r="I294" s="41">
        <f>IF(OR($M$3="No",$M$3="",NOT(ISNUMBER(F294))),"",IF(NOT(ISNUMBER(H294)),"Falta IVA",ROUND(F294*(1+(H294+IF($M$3="Con IVA y recargo",IF(H294=21,5.2,IF(H294=10,1.4,IF(H294=4,0.5,0))),0))/100),2)))</f>
        <v/>
      </c>
      <c r="J294">
        <f>IFERROR(MATCH(284,Tarifa!$O$13:$O$512,0),"")</f>
        <v/>
      </c>
    </row>
    <row r="295" ht="17" customHeight="1">
      <c r="A295" s="38">
        <f>IF($J295="","",IFERROR(IF(INDEX(Tarifa!$E$13:$E$512,$J295)&amp;""=INDEX(Tarifa!$E$13:$E$512,$J294)&amp;"","",INDEX(Tarifa!$E$13:$E$512,$J295)&amp;""),""))</f>
        <v/>
      </c>
      <c r="B295" s="39">
        <f>IF($J295="","",INDEX(Tarifa!$A$13:$A$512,$J295)&amp;"")</f>
        <v/>
      </c>
      <c r="C295" s="39">
        <f>IF($J295="","",INDEX(Tarifa!$B$13:$B$512,$J295)&amp;"")</f>
        <v/>
      </c>
      <c r="D295" s="39">
        <f>IF($J295="","",INDEX(Tarifa!$C$13:$C$512,$J295)&amp;"")</f>
        <v/>
      </c>
      <c r="E295" s="40">
        <f>IF($J295="","",IF(INDEX(Tarifa!$D$13:$D$512,$J295)="","",INDEX(Tarifa!$D$13:$D$512,$J295)))</f>
        <v/>
      </c>
      <c r="F295" s="41">
        <f>IF(OR($J295="",$J$1=""),"",IF(INDEX(Tarifa!$G$13:$G$512,$J295)="","",IF(NOT(ISNUMBER(INDEX(Tarifa!$G$13:$G$512,$J295))),"Revisa",IF($J$1=1,INDEX(Tarifa!$G$13:$G$512,$J295),ROUND(ROUND(INDEX(Tarifa!$G$13:$G$512,$J295)*(1+$J$2/100)/$J$3,0)*$J$3,2)))))</f>
        <v/>
      </c>
      <c r="G295" s="42">
        <f>IF(OR(NOT(ISNUMBER(F295)),N(E295)&lt;=1),"",ROUND(F295/E295,3))</f>
        <v/>
      </c>
      <c r="H295" s="43">
        <f>IF($J295="","",IF(INDEX(Tarifa!$H$13:$H$512,$J295)="","",INDEX(Tarifa!$H$13:$H$512,$J295)))</f>
        <v/>
      </c>
      <c r="I295" s="41">
        <f>IF(OR($M$3="No",$M$3="",NOT(ISNUMBER(F295))),"",IF(NOT(ISNUMBER(H295)),"Falta IVA",ROUND(F295*(1+(H295+IF($M$3="Con IVA y recargo",IF(H295=21,5.2,IF(H295=10,1.4,IF(H295=4,0.5,0))),0))/100),2)))</f>
        <v/>
      </c>
      <c r="J295">
        <f>IFERROR(MATCH(285,Tarifa!$O$13:$O$512,0),"")</f>
        <v/>
      </c>
    </row>
    <row r="296" ht="17" customHeight="1">
      <c r="A296" s="38">
        <f>IF($J296="","",IFERROR(IF(INDEX(Tarifa!$E$13:$E$512,$J296)&amp;""=INDEX(Tarifa!$E$13:$E$512,$J295)&amp;"","",INDEX(Tarifa!$E$13:$E$512,$J296)&amp;""),""))</f>
        <v/>
      </c>
      <c r="B296" s="39">
        <f>IF($J296="","",INDEX(Tarifa!$A$13:$A$512,$J296)&amp;"")</f>
        <v/>
      </c>
      <c r="C296" s="39">
        <f>IF($J296="","",INDEX(Tarifa!$B$13:$B$512,$J296)&amp;"")</f>
        <v/>
      </c>
      <c r="D296" s="39">
        <f>IF($J296="","",INDEX(Tarifa!$C$13:$C$512,$J296)&amp;"")</f>
        <v/>
      </c>
      <c r="E296" s="40">
        <f>IF($J296="","",IF(INDEX(Tarifa!$D$13:$D$512,$J296)="","",INDEX(Tarifa!$D$13:$D$512,$J296)))</f>
        <v/>
      </c>
      <c r="F296" s="41">
        <f>IF(OR($J296="",$J$1=""),"",IF(INDEX(Tarifa!$G$13:$G$512,$J296)="","",IF(NOT(ISNUMBER(INDEX(Tarifa!$G$13:$G$512,$J296))),"Revisa",IF($J$1=1,INDEX(Tarifa!$G$13:$G$512,$J296),ROUND(ROUND(INDEX(Tarifa!$G$13:$G$512,$J296)*(1+$J$2/100)/$J$3,0)*$J$3,2)))))</f>
        <v/>
      </c>
      <c r="G296" s="42">
        <f>IF(OR(NOT(ISNUMBER(F296)),N(E296)&lt;=1),"",ROUND(F296/E296,3))</f>
        <v/>
      </c>
      <c r="H296" s="43">
        <f>IF($J296="","",IF(INDEX(Tarifa!$H$13:$H$512,$J296)="","",INDEX(Tarifa!$H$13:$H$512,$J296)))</f>
        <v/>
      </c>
      <c r="I296" s="41">
        <f>IF(OR($M$3="No",$M$3="",NOT(ISNUMBER(F296))),"",IF(NOT(ISNUMBER(H296)),"Falta IVA",ROUND(F296*(1+(H296+IF($M$3="Con IVA y recargo",IF(H296=21,5.2,IF(H296=10,1.4,IF(H296=4,0.5,0))),0))/100),2)))</f>
        <v/>
      </c>
      <c r="J296">
        <f>IFERROR(MATCH(286,Tarifa!$O$13:$O$512,0),"")</f>
        <v/>
      </c>
    </row>
    <row r="297" ht="17" customHeight="1">
      <c r="A297" s="38">
        <f>IF($J297="","",IFERROR(IF(INDEX(Tarifa!$E$13:$E$512,$J297)&amp;""=INDEX(Tarifa!$E$13:$E$512,$J296)&amp;"","",INDEX(Tarifa!$E$13:$E$512,$J297)&amp;""),""))</f>
        <v/>
      </c>
      <c r="B297" s="39">
        <f>IF($J297="","",INDEX(Tarifa!$A$13:$A$512,$J297)&amp;"")</f>
        <v/>
      </c>
      <c r="C297" s="39">
        <f>IF($J297="","",INDEX(Tarifa!$B$13:$B$512,$J297)&amp;"")</f>
        <v/>
      </c>
      <c r="D297" s="39">
        <f>IF($J297="","",INDEX(Tarifa!$C$13:$C$512,$J297)&amp;"")</f>
        <v/>
      </c>
      <c r="E297" s="40">
        <f>IF($J297="","",IF(INDEX(Tarifa!$D$13:$D$512,$J297)="","",INDEX(Tarifa!$D$13:$D$512,$J297)))</f>
        <v/>
      </c>
      <c r="F297" s="41">
        <f>IF(OR($J297="",$J$1=""),"",IF(INDEX(Tarifa!$G$13:$G$512,$J297)="","",IF(NOT(ISNUMBER(INDEX(Tarifa!$G$13:$G$512,$J297))),"Revisa",IF($J$1=1,INDEX(Tarifa!$G$13:$G$512,$J297),ROUND(ROUND(INDEX(Tarifa!$G$13:$G$512,$J297)*(1+$J$2/100)/$J$3,0)*$J$3,2)))))</f>
        <v/>
      </c>
      <c r="G297" s="42">
        <f>IF(OR(NOT(ISNUMBER(F297)),N(E297)&lt;=1),"",ROUND(F297/E297,3))</f>
        <v/>
      </c>
      <c r="H297" s="43">
        <f>IF($J297="","",IF(INDEX(Tarifa!$H$13:$H$512,$J297)="","",INDEX(Tarifa!$H$13:$H$512,$J297)))</f>
        <v/>
      </c>
      <c r="I297" s="41">
        <f>IF(OR($M$3="No",$M$3="",NOT(ISNUMBER(F297))),"",IF(NOT(ISNUMBER(H297)),"Falta IVA",ROUND(F297*(1+(H297+IF($M$3="Con IVA y recargo",IF(H297=21,5.2,IF(H297=10,1.4,IF(H297=4,0.5,0))),0))/100),2)))</f>
        <v/>
      </c>
      <c r="J297">
        <f>IFERROR(MATCH(287,Tarifa!$O$13:$O$512,0),"")</f>
        <v/>
      </c>
    </row>
    <row r="298" ht="17" customHeight="1">
      <c r="A298" s="38">
        <f>IF($J298="","",IFERROR(IF(INDEX(Tarifa!$E$13:$E$512,$J298)&amp;""=INDEX(Tarifa!$E$13:$E$512,$J297)&amp;"","",INDEX(Tarifa!$E$13:$E$512,$J298)&amp;""),""))</f>
        <v/>
      </c>
      <c r="B298" s="39">
        <f>IF($J298="","",INDEX(Tarifa!$A$13:$A$512,$J298)&amp;"")</f>
        <v/>
      </c>
      <c r="C298" s="39">
        <f>IF($J298="","",INDEX(Tarifa!$B$13:$B$512,$J298)&amp;"")</f>
        <v/>
      </c>
      <c r="D298" s="39">
        <f>IF($J298="","",INDEX(Tarifa!$C$13:$C$512,$J298)&amp;"")</f>
        <v/>
      </c>
      <c r="E298" s="40">
        <f>IF($J298="","",IF(INDEX(Tarifa!$D$13:$D$512,$J298)="","",INDEX(Tarifa!$D$13:$D$512,$J298)))</f>
        <v/>
      </c>
      <c r="F298" s="41">
        <f>IF(OR($J298="",$J$1=""),"",IF(INDEX(Tarifa!$G$13:$G$512,$J298)="","",IF(NOT(ISNUMBER(INDEX(Tarifa!$G$13:$G$512,$J298))),"Revisa",IF($J$1=1,INDEX(Tarifa!$G$13:$G$512,$J298),ROUND(ROUND(INDEX(Tarifa!$G$13:$G$512,$J298)*(1+$J$2/100)/$J$3,0)*$J$3,2)))))</f>
        <v/>
      </c>
      <c r="G298" s="42">
        <f>IF(OR(NOT(ISNUMBER(F298)),N(E298)&lt;=1),"",ROUND(F298/E298,3))</f>
        <v/>
      </c>
      <c r="H298" s="43">
        <f>IF($J298="","",IF(INDEX(Tarifa!$H$13:$H$512,$J298)="","",INDEX(Tarifa!$H$13:$H$512,$J298)))</f>
        <v/>
      </c>
      <c r="I298" s="41">
        <f>IF(OR($M$3="No",$M$3="",NOT(ISNUMBER(F298))),"",IF(NOT(ISNUMBER(H298)),"Falta IVA",ROUND(F298*(1+(H298+IF($M$3="Con IVA y recargo",IF(H298=21,5.2,IF(H298=10,1.4,IF(H298=4,0.5,0))),0))/100),2)))</f>
        <v/>
      </c>
      <c r="J298">
        <f>IFERROR(MATCH(288,Tarifa!$O$13:$O$512,0),"")</f>
        <v/>
      </c>
    </row>
    <row r="299" ht="17" customHeight="1">
      <c r="A299" s="38">
        <f>IF($J299="","",IFERROR(IF(INDEX(Tarifa!$E$13:$E$512,$J299)&amp;""=INDEX(Tarifa!$E$13:$E$512,$J298)&amp;"","",INDEX(Tarifa!$E$13:$E$512,$J299)&amp;""),""))</f>
        <v/>
      </c>
      <c r="B299" s="39">
        <f>IF($J299="","",INDEX(Tarifa!$A$13:$A$512,$J299)&amp;"")</f>
        <v/>
      </c>
      <c r="C299" s="39">
        <f>IF($J299="","",INDEX(Tarifa!$B$13:$B$512,$J299)&amp;"")</f>
        <v/>
      </c>
      <c r="D299" s="39">
        <f>IF($J299="","",INDEX(Tarifa!$C$13:$C$512,$J299)&amp;"")</f>
        <v/>
      </c>
      <c r="E299" s="40">
        <f>IF($J299="","",IF(INDEX(Tarifa!$D$13:$D$512,$J299)="","",INDEX(Tarifa!$D$13:$D$512,$J299)))</f>
        <v/>
      </c>
      <c r="F299" s="41">
        <f>IF(OR($J299="",$J$1=""),"",IF(INDEX(Tarifa!$G$13:$G$512,$J299)="","",IF(NOT(ISNUMBER(INDEX(Tarifa!$G$13:$G$512,$J299))),"Revisa",IF($J$1=1,INDEX(Tarifa!$G$13:$G$512,$J299),ROUND(ROUND(INDEX(Tarifa!$G$13:$G$512,$J299)*(1+$J$2/100)/$J$3,0)*$J$3,2)))))</f>
        <v/>
      </c>
      <c r="G299" s="42">
        <f>IF(OR(NOT(ISNUMBER(F299)),N(E299)&lt;=1),"",ROUND(F299/E299,3))</f>
        <v/>
      </c>
      <c r="H299" s="43">
        <f>IF($J299="","",IF(INDEX(Tarifa!$H$13:$H$512,$J299)="","",INDEX(Tarifa!$H$13:$H$512,$J299)))</f>
        <v/>
      </c>
      <c r="I299" s="41">
        <f>IF(OR($M$3="No",$M$3="",NOT(ISNUMBER(F299))),"",IF(NOT(ISNUMBER(H299)),"Falta IVA",ROUND(F299*(1+(H299+IF($M$3="Con IVA y recargo",IF(H299=21,5.2,IF(H299=10,1.4,IF(H299=4,0.5,0))),0))/100),2)))</f>
        <v/>
      </c>
      <c r="J299">
        <f>IFERROR(MATCH(289,Tarifa!$O$13:$O$512,0),"")</f>
        <v/>
      </c>
    </row>
    <row r="300" ht="17" customHeight="1">
      <c r="A300" s="38">
        <f>IF($J300="","",IFERROR(IF(INDEX(Tarifa!$E$13:$E$512,$J300)&amp;""=INDEX(Tarifa!$E$13:$E$512,$J299)&amp;"","",INDEX(Tarifa!$E$13:$E$512,$J300)&amp;""),""))</f>
        <v/>
      </c>
      <c r="B300" s="39">
        <f>IF($J300="","",INDEX(Tarifa!$A$13:$A$512,$J300)&amp;"")</f>
        <v/>
      </c>
      <c r="C300" s="39">
        <f>IF($J300="","",INDEX(Tarifa!$B$13:$B$512,$J300)&amp;"")</f>
        <v/>
      </c>
      <c r="D300" s="39">
        <f>IF($J300="","",INDEX(Tarifa!$C$13:$C$512,$J300)&amp;"")</f>
        <v/>
      </c>
      <c r="E300" s="40">
        <f>IF($J300="","",IF(INDEX(Tarifa!$D$13:$D$512,$J300)="","",INDEX(Tarifa!$D$13:$D$512,$J300)))</f>
        <v/>
      </c>
      <c r="F300" s="41">
        <f>IF(OR($J300="",$J$1=""),"",IF(INDEX(Tarifa!$G$13:$G$512,$J300)="","",IF(NOT(ISNUMBER(INDEX(Tarifa!$G$13:$G$512,$J300))),"Revisa",IF($J$1=1,INDEX(Tarifa!$G$13:$G$512,$J300),ROUND(ROUND(INDEX(Tarifa!$G$13:$G$512,$J300)*(1+$J$2/100)/$J$3,0)*$J$3,2)))))</f>
        <v/>
      </c>
      <c r="G300" s="42">
        <f>IF(OR(NOT(ISNUMBER(F300)),N(E300)&lt;=1),"",ROUND(F300/E300,3))</f>
        <v/>
      </c>
      <c r="H300" s="43">
        <f>IF($J300="","",IF(INDEX(Tarifa!$H$13:$H$512,$J300)="","",INDEX(Tarifa!$H$13:$H$512,$J300)))</f>
        <v/>
      </c>
      <c r="I300" s="41">
        <f>IF(OR($M$3="No",$M$3="",NOT(ISNUMBER(F300))),"",IF(NOT(ISNUMBER(H300)),"Falta IVA",ROUND(F300*(1+(H300+IF($M$3="Con IVA y recargo",IF(H300=21,5.2,IF(H300=10,1.4,IF(H300=4,0.5,0))),0))/100),2)))</f>
        <v/>
      </c>
      <c r="J300">
        <f>IFERROR(MATCH(290,Tarifa!$O$13:$O$512,0),"")</f>
        <v/>
      </c>
    </row>
    <row r="301" ht="17" customHeight="1">
      <c r="A301" s="38">
        <f>IF($J301="","",IFERROR(IF(INDEX(Tarifa!$E$13:$E$512,$J301)&amp;""=INDEX(Tarifa!$E$13:$E$512,$J300)&amp;"","",INDEX(Tarifa!$E$13:$E$512,$J301)&amp;""),""))</f>
        <v/>
      </c>
      <c r="B301" s="39">
        <f>IF($J301="","",INDEX(Tarifa!$A$13:$A$512,$J301)&amp;"")</f>
        <v/>
      </c>
      <c r="C301" s="39">
        <f>IF($J301="","",INDEX(Tarifa!$B$13:$B$512,$J301)&amp;"")</f>
        <v/>
      </c>
      <c r="D301" s="39">
        <f>IF($J301="","",INDEX(Tarifa!$C$13:$C$512,$J301)&amp;"")</f>
        <v/>
      </c>
      <c r="E301" s="40">
        <f>IF($J301="","",IF(INDEX(Tarifa!$D$13:$D$512,$J301)="","",INDEX(Tarifa!$D$13:$D$512,$J301)))</f>
        <v/>
      </c>
      <c r="F301" s="41">
        <f>IF(OR($J301="",$J$1=""),"",IF(INDEX(Tarifa!$G$13:$G$512,$J301)="","",IF(NOT(ISNUMBER(INDEX(Tarifa!$G$13:$G$512,$J301))),"Revisa",IF($J$1=1,INDEX(Tarifa!$G$13:$G$512,$J301),ROUND(ROUND(INDEX(Tarifa!$G$13:$G$512,$J301)*(1+$J$2/100)/$J$3,0)*$J$3,2)))))</f>
        <v/>
      </c>
      <c r="G301" s="42">
        <f>IF(OR(NOT(ISNUMBER(F301)),N(E301)&lt;=1),"",ROUND(F301/E301,3))</f>
        <v/>
      </c>
      <c r="H301" s="43">
        <f>IF($J301="","",IF(INDEX(Tarifa!$H$13:$H$512,$J301)="","",INDEX(Tarifa!$H$13:$H$512,$J301)))</f>
        <v/>
      </c>
      <c r="I301" s="41">
        <f>IF(OR($M$3="No",$M$3="",NOT(ISNUMBER(F301))),"",IF(NOT(ISNUMBER(H301)),"Falta IVA",ROUND(F301*(1+(H301+IF($M$3="Con IVA y recargo",IF(H301=21,5.2,IF(H301=10,1.4,IF(H301=4,0.5,0))),0))/100),2)))</f>
        <v/>
      </c>
      <c r="J301">
        <f>IFERROR(MATCH(291,Tarifa!$O$13:$O$512,0),"")</f>
        <v/>
      </c>
    </row>
    <row r="302" ht="17" customHeight="1">
      <c r="A302" s="38">
        <f>IF($J302="","",IFERROR(IF(INDEX(Tarifa!$E$13:$E$512,$J302)&amp;""=INDEX(Tarifa!$E$13:$E$512,$J301)&amp;"","",INDEX(Tarifa!$E$13:$E$512,$J302)&amp;""),""))</f>
        <v/>
      </c>
      <c r="B302" s="39">
        <f>IF($J302="","",INDEX(Tarifa!$A$13:$A$512,$J302)&amp;"")</f>
        <v/>
      </c>
      <c r="C302" s="39">
        <f>IF($J302="","",INDEX(Tarifa!$B$13:$B$512,$J302)&amp;"")</f>
        <v/>
      </c>
      <c r="D302" s="39">
        <f>IF($J302="","",INDEX(Tarifa!$C$13:$C$512,$J302)&amp;"")</f>
        <v/>
      </c>
      <c r="E302" s="40">
        <f>IF($J302="","",IF(INDEX(Tarifa!$D$13:$D$512,$J302)="","",INDEX(Tarifa!$D$13:$D$512,$J302)))</f>
        <v/>
      </c>
      <c r="F302" s="41">
        <f>IF(OR($J302="",$J$1=""),"",IF(INDEX(Tarifa!$G$13:$G$512,$J302)="","",IF(NOT(ISNUMBER(INDEX(Tarifa!$G$13:$G$512,$J302))),"Revisa",IF($J$1=1,INDEX(Tarifa!$G$13:$G$512,$J302),ROUND(ROUND(INDEX(Tarifa!$G$13:$G$512,$J302)*(1+$J$2/100)/$J$3,0)*$J$3,2)))))</f>
        <v/>
      </c>
      <c r="G302" s="42">
        <f>IF(OR(NOT(ISNUMBER(F302)),N(E302)&lt;=1),"",ROUND(F302/E302,3))</f>
        <v/>
      </c>
      <c r="H302" s="43">
        <f>IF($J302="","",IF(INDEX(Tarifa!$H$13:$H$512,$J302)="","",INDEX(Tarifa!$H$13:$H$512,$J302)))</f>
        <v/>
      </c>
      <c r="I302" s="41">
        <f>IF(OR($M$3="No",$M$3="",NOT(ISNUMBER(F302))),"",IF(NOT(ISNUMBER(H302)),"Falta IVA",ROUND(F302*(1+(H302+IF($M$3="Con IVA y recargo",IF(H302=21,5.2,IF(H302=10,1.4,IF(H302=4,0.5,0))),0))/100),2)))</f>
        <v/>
      </c>
      <c r="J302">
        <f>IFERROR(MATCH(292,Tarifa!$O$13:$O$512,0),"")</f>
        <v/>
      </c>
    </row>
    <row r="303" ht="17" customHeight="1">
      <c r="A303" s="38">
        <f>IF($J303="","",IFERROR(IF(INDEX(Tarifa!$E$13:$E$512,$J303)&amp;""=INDEX(Tarifa!$E$13:$E$512,$J302)&amp;"","",INDEX(Tarifa!$E$13:$E$512,$J303)&amp;""),""))</f>
        <v/>
      </c>
      <c r="B303" s="39">
        <f>IF($J303="","",INDEX(Tarifa!$A$13:$A$512,$J303)&amp;"")</f>
        <v/>
      </c>
      <c r="C303" s="39">
        <f>IF($J303="","",INDEX(Tarifa!$B$13:$B$512,$J303)&amp;"")</f>
        <v/>
      </c>
      <c r="D303" s="39">
        <f>IF($J303="","",INDEX(Tarifa!$C$13:$C$512,$J303)&amp;"")</f>
        <v/>
      </c>
      <c r="E303" s="40">
        <f>IF($J303="","",IF(INDEX(Tarifa!$D$13:$D$512,$J303)="","",INDEX(Tarifa!$D$13:$D$512,$J303)))</f>
        <v/>
      </c>
      <c r="F303" s="41">
        <f>IF(OR($J303="",$J$1=""),"",IF(INDEX(Tarifa!$G$13:$G$512,$J303)="","",IF(NOT(ISNUMBER(INDEX(Tarifa!$G$13:$G$512,$J303))),"Revisa",IF($J$1=1,INDEX(Tarifa!$G$13:$G$512,$J303),ROUND(ROUND(INDEX(Tarifa!$G$13:$G$512,$J303)*(1+$J$2/100)/$J$3,0)*$J$3,2)))))</f>
        <v/>
      </c>
      <c r="G303" s="42">
        <f>IF(OR(NOT(ISNUMBER(F303)),N(E303)&lt;=1),"",ROUND(F303/E303,3))</f>
        <v/>
      </c>
      <c r="H303" s="43">
        <f>IF($J303="","",IF(INDEX(Tarifa!$H$13:$H$512,$J303)="","",INDEX(Tarifa!$H$13:$H$512,$J303)))</f>
        <v/>
      </c>
      <c r="I303" s="41">
        <f>IF(OR($M$3="No",$M$3="",NOT(ISNUMBER(F303))),"",IF(NOT(ISNUMBER(H303)),"Falta IVA",ROUND(F303*(1+(H303+IF($M$3="Con IVA y recargo",IF(H303=21,5.2,IF(H303=10,1.4,IF(H303=4,0.5,0))),0))/100),2)))</f>
        <v/>
      </c>
      <c r="J303">
        <f>IFERROR(MATCH(293,Tarifa!$O$13:$O$512,0),"")</f>
        <v/>
      </c>
    </row>
    <row r="304" ht="17" customHeight="1">
      <c r="A304" s="38">
        <f>IF($J304="","",IFERROR(IF(INDEX(Tarifa!$E$13:$E$512,$J304)&amp;""=INDEX(Tarifa!$E$13:$E$512,$J303)&amp;"","",INDEX(Tarifa!$E$13:$E$512,$J304)&amp;""),""))</f>
        <v/>
      </c>
      <c r="B304" s="39">
        <f>IF($J304="","",INDEX(Tarifa!$A$13:$A$512,$J304)&amp;"")</f>
        <v/>
      </c>
      <c r="C304" s="39">
        <f>IF($J304="","",INDEX(Tarifa!$B$13:$B$512,$J304)&amp;"")</f>
        <v/>
      </c>
      <c r="D304" s="39">
        <f>IF($J304="","",INDEX(Tarifa!$C$13:$C$512,$J304)&amp;"")</f>
        <v/>
      </c>
      <c r="E304" s="40">
        <f>IF($J304="","",IF(INDEX(Tarifa!$D$13:$D$512,$J304)="","",INDEX(Tarifa!$D$13:$D$512,$J304)))</f>
        <v/>
      </c>
      <c r="F304" s="41">
        <f>IF(OR($J304="",$J$1=""),"",IF(INDEX(Tarifa!$G$13:$G$512,$J304)="","",IF(NOT(ISNUMBER(INDEX(Tarifa!$G$13:$G$512,$J304))),"Revisa",IF($J$1=1,INDEX(Tarifa!$G$13:$G$512,$J304),ROUND(ROUND(INDEX(Tarifa!$G$13:$G$512,$J304)*(1+$J$2/100)/$J$3,0)*$J$3,2)))))</f>
        <v/>
      </c>
      <c r="G304" s="42">
        <f>IF(OR(NOT(ISNUMBER(F304)),N(E304)&lt;=1),"",ROUND(F304/E304,3))</f>
        <v/>
      </c>
      <c r="H304" s="43">
        <f>IF($J304="","",IF(INDEX(Tarifa!$H$13:$H$512,$J304)="","",INDEX(Tarifa!$H$13:$H$512,$J304)))</f>
        <v/>
      </c>
      <c r="I304" s="41">
        <f>IF(OR($M$3="No",$M$3="",NOT(ISNUMBER(F304))),"",IF(NOT(ISNUMBER(H304)),"Falta IVA",ROUND(F304*(1+(H304+IF($M$3="Con IVA y recargo",IF(H304=21,5.2,IF(H304=10,1.4,IF(H304=4,0.5,0))),0))/100),2)))</f>
        <v/>
      </c>
      <c r="J304">
        <f>IFERROR(MATCH(294,Tarifa!$O$13:$O$512,0),"")</f>
        <v/>
      </c>
    </row>
    <row r="305" ht="17" customHeight="1">
      <c r="A305" s="38">
        <f>IF($J305="","",IFERROR(IF(INDEX(Tarifa!$E$13:$E$512,$J305)&amp;""=INDEX(Tarifa!$E$13:$E$512,$J304)&amp;"","",INDEX(Tarifa!$E$13:$E$512,$J305)&amp;""),""))</f>
        <v/>
      </c>
      <c r="B305" s="39">
        <f>IF($J305="","",INDEX(Tarifa!$A$13:$A$512,$J305)&amp;"")</f>
        <v/>
      </c>
      <c r="C305" s="39">
        <f>IF($J305="","",INDEX(Tarifa!$B$13:$B$512,$J305)&amp;"")</f>
        <v/>
      </c>
      <c r="D305" s="39">
        <f>IF($J305="","",INDEX(Tarifa!$C$13:$C$512,$J305)&amp;"")</f>
        <v/>
      </c>
      <c r="E305" s="40">
        <f>IF($J305="","",IF(INDEX(Tarifa!$D$13:$D$512,$J305)="","",INDEX(Tarifa!$D$13:$D$512,$J305)))</f>
        <v/>
      </c>
      <c r="F305" s="41">
        <f>IF(OR($J305="",$J$1=""),"",IF(INDEX(Tarifa!$G$13:$G$512,$J305)="","",IF(NOT(ISNUMBER(INDEX(Tarifa!$G$13:$G$512,$J305))),"Revisa",IF($J$1=1,INDEX(Tarifa!$G$13:$G$512,$J305),ROUND(ROUND(INDEX(Tarifa!$G$13:$G$512,$J305)*(1+$J$2/100)/$J$3,0)*$J$3,2)))))</f>
        <v/>
      </c>
      <c r="G305" s="42">
        <f>IF(OR(NOT(ISNUMBER(F305)),N(E305)&lt;=1),"",ROUND(F305/E305,3))</f>
        <v/>
      </c>
      <c r="H305" s="43">
        <f>IF($J305="","",IF(INDEX(Tarifa!$H$13:$H$512,$J305)="","",INDEX(Tarifa!$H$13:$H$512,$J305)))</f>
        <v/>
      </c>
      <c r="I305" s="41">
        <f>IF(OR($M$3="No",$M$3="",NOT(ISNUMBER(F305))),"",IF(NOT(ISNUMBER(H305)),"Falta IVA",ROUND(F305*(1+(H305+IF($M$3="Con IVA y recargo",IF(H305=21,5.2,IF(H305=10,1.4,IF(H305=4,0.5,0))),0))/100),2)))</f>
        <v/>
      </c>
      <c r="J305">
        <f>IFERROR(MATCH(295,Tarifa!$O$13:$O$512,0),"")</f>
        <v/>
      </c>
    </row>
    <row r="306" ht="17" customHeight="1">
      <c r="A306" s="38">
        <f>IF($J306="","",IFERROR(IF(INDEX(Tarifa!$E$13:$E$512,$J306)&amp;""=INDEX(Tarifa!$E$13:$E$512,$J305)&amp;"","",INDEX(Tarifa!$E$13:$E$512,$J306)&amp;""),""))</f>
        <v/>
      </c>
      <c r="B306" s="39">
        <f>IF($J306="","",INDEX(Tarifa!$A$13:$A$512,$J306)&amp;"")</f>
        <v/>
      </c>
      <c r="C306" s="39">
        <f>IF($J306="","",INDEX(Tarifa!$B$13:$B$512,$J306)&amp;"")</f>
        <v/>
      </c>
      <c r="D306" s="39">
        <f>IF($J306="","",INDEX(Tarifa!$C$13:$C$512,$J306)&amp;"")</f>
        <v/>
      </c>
      <c r="E306" s="40">
        <f>IF($J306="","",IF(INDEX(Tarifa!$D$13:$D$512,$J306)="","",INDEX(Tarifa!$D$13:$D$512,$J306)))</f>
        <v/>
      </c>
      <c r="F306" s="41">
        <f>IF(OR($J306="",$J$1=""),"",IF(INDEX(Tarifa!$G$13:$G$512,$J306)="","",IF(NOT(ISNUMBER(INDEX(Tarifa!$G$13:$G$512,$J306))),"Revisa",IF($J$1=1,INDEX(Tarifa!$G$13:$G$512,$J306),ROUND(ROUND(INDEX(Tarifa!$G$13:$G$512,$J306)*(1+$J$2/100)/$J$3,0)*$J$3,2)))))</f>
        <v/>
      </c>
      <c r="G306" s="42">
        <f>IF(OR(NOT(ISNUMBER(F306)),N(E306)&lt;=1),"",ROUND(F306/E306,3))</f>
        <v/>
      </c>
      <c r="H306" s="43">
        <f>IF($J306="","",IF(INDEX(Tarifa!$H$13:$H$512,$J306)="","",INDEX(Tarifa!$H$13:$H$512,$J306)))</f>
        <v/>
      </c>
      <c r="I306" s="41">
        <f>IF(OR($M$3="No",$M$3="",NOT(ISNUMBER(F306))),"",IF(NOT(ISNUMBER(H306)),"Falta IVA",ROUND(F306*(1+(H306+IF($M$3="Con IVA y recargo",IF(H306=21,5.2,IF(H306=10,1.4,IF(H306=4,0.5,0))),0))/100),2)))</f>
        <v/>
      </c>
      <c r="J306">
        <f>IFERROR(MATCH(296,Tarifa!$O$13:$O$512,0),"")</f>
        <v/>
      </c>
    </row>
    <row r="307" ht="17" customHeight="1">
      <c r="A307" s="38">
        <f>IF($J307="","",IFERROR(IF(INDEX(Tarifa!$E$13:$E$512,$J307)&amp;""=INDEX(Tarifa!$E$13:$E$512,$J306)&amp;"","",INDEX(Tarifa!$E$13:$E$512,$J307)&amp;""),""))</f>
        <v/>
      </c>
      <c r="B307" s="39">
        <f>IF($J307="","",INDEX(Tarifa!$A$13:$A$512,$J307)&amp;"")</f>
        <v/>
      </c>
      <c r="C307" s="39">
        <f>IF($J307="","",INDEX(Tarifa!$B$13:$B$512,$J307)&amp;"")</f>
        <v/>
      </c>
      <c r="D307" s="39">
        <f>IF($J307="","",INDEX(Tarifa!$C$13:$C$512,$J307)&amp;"")</f>
        <v/>
      </c>
      <c r="E307" s="40">
        <f>IF($J307="","",IF(INDEX(Tarifa!$D$13:$D$512,$J307)="","",INDEX(Tarifa!$D$13:$D$512,$J307)))</f>
        <v/>
      </c>
      <c r="F307" s="41">
        <f>IF(OR($J307="",$J$1=""),"",IF(INDEX(Tarifa!$G$13:$G$512,$J307)="","",IF(NOT(ISNUMBER(INDEX(Tarifa!$G$13:$G$512,$J307))),"Revisa",IF($J$1=1,INDEX(Tarifa!$G$13:$G$512,$J307),ROUND(ROUND(INDEX(Tarifa!$G$13:$G$512,$J307)*(1+$J$2/100)/$J$3,0)*$J$3,2)))))</f>
        <v/>
      </c>
      <c r="G307" s="42">
        <f>IF(OR(NOT(ISNUMBER(F307)),N(E307)&lt;=1),"",ROUND(F307/E307,3))</f>
        <v/>
      </c>
      <c r="H307" s="43">
        <f>IF($J307="","",IF(INDEX(Tarifa!$H$13:$H$512,$J307)="","",INDEX(Tarifa!$H$13:$H$512,$J307)))</f>
        <v/>
      </c>
      <c r="I307" s="41">
        <f>IF(OR($M$3="No",$M$3="",NOT(ISNUMBER(F307))),"",IF(NOT(ISNUMBER(H307)),"Falta IVA",ROUND(F307*(1+(H307+IF($M$3="Con IVA y recargo",IF(H307=21,5.2,IF(H307=10,1.4,IF(H307=4,0.5,0))),0))/100),2)))</f>
        <v/>
      </c>
      <c r="J307">
        <f>IFERROR(MATCH(297,Tarifa!$O$13:$O$512,0),"")</f>
        <v/>
      </c>
    </row>
    <row r="308" ht="17" customHeight="1">
      <c r="A308" s="38">
        <f>IF($J308="","",IFERROR(IF(INDEX(Tarifa!$E$13:$E$512,$J308)&amp;""=INDEX(Tarifa!$E$13:$E$512,$J307)&amp;"","",INDEX(Tarifa!$E$13:$E$512,$J308)&amp;""),""))</f>
        <v/>
      </c>
      <c r="B308" s="39">
        <f>IF($J308="","",INDEX(Tarifa!$A$13:$A$512,$J308)&amp;"")</f>
        <v/>
      </c>
      <c r="C308" s="39">
        <f>IF($J308="","",INDEX(Tarifa!$B$13:$B$512,$J308)&amp;"")</f>
        <v/>
      </c>
      <c r="D308" s="39">
        <f>IF($J308="","",INDEX(Tarifa!$C$13:$C$512,$J308)&amp;"")</f>
        <v/>
      </c>
      <c r="E308" s="40">
        <f>IF($J308="","",IF(INDEX(Tarifa!$D$13:$D$512,$J308)="","",INDEX(Tarifa!$D$13:$D$512,$J308)))</f>
        <v/>
      </c>
      <c r="F308" s="41">
        <f>IF(OR($J308="",$J$1=""),"",IF(INDEX(Tarifa!$G$13:$G$512,$J308)="","",IF(NOT(ISNUMBER(INDEX(Tarifa!$G$13:$G$512,$J308))),"Revisa",IF($J$1=1,INDEX(Tarifa!$G$13:$G$512,$J308),ROUND(ROUND(INDEX(Tarifa!$G$13:$G$512,$J308)*(1+$J$2/100)/$J$3,0)*$J$3,2)))))</f>
        <v/>
      </c>
      <c r="G308" s="42">
        <f>IF(OR(NOT(ISNUMBER(F308)),N(E308)&lt;=1),"",ROUND(F308/E308,3))</f>
        <v/>
      </c>
      <c r="H308" s="43">
        <f>IF($J308="","",IF(INDEX(Tarifa!$H$13:$H$512,$J308)="","",INDEX(Tarifa!$H$13:$H$512,$J308)))</f>
        <v/>
      </c>
      <c r="I308" s="41">
        <f>IF(OR($M$3="No",$M$3="",NOT(ISNUMBER(F308))),"",IF(NOT(ISNUMBER(H308)),"Falta IVA",ROUND(F308*(1+(H308+IF($M$3="Con IVA y recargo",IF(H308=21,5.2,IF(H308=10,1.4,IF(H308=4,0.5,0))),0))/100),2)))</f>
        <v/>
      </c>
      <c r="J308">
        <f>IFERROR(MATCH(298,Tarifa!$O$13:$O$512,0),"")</f>
        <v/>
      </c>
    </row>
    <row r="309" ht="17" customHeight="1">
      <c r="A309" s="38">
        <f>IF($J309="","",IFERROR(IF(INDEX(Tarifa!$E$13:$E$512,$J309)&amp;""=INDEX(Tarifa!$E$13:$E$512,$J308)&amp;"","",INDEX(Tarifa!$E$13:$E$512,$J309)&amp;""),""))</f>
        <v/>
      </c>
      <c r="B309" s="39">
        <f>IF($J309="","",INDEX(Tarifa!$A$13:$A$512,$J309)&amp;"")</f>
        <v/>
      </c>
      <c r="C309" s="39">
        <f>IF($J309="","",INDEX(Tarifa!$B$13:$B$512,$J309)&amp;"")</f>
        <v/>
      </c>
      <c r="D309" s="39">
        <f>IF($J309="","",INDEX(Tarifa!$C$13:$C$512,$J309)&amp;"")</f>
        <v/>
      </c>
      <c r="E309" s="40">
        <f>IF($J309="","",IF(INDEX(Tarifa!$D$13:$D$512,$J309)="","",INDEX(Tarifa!$D$13:$D$512,$J309)))</f>
        <v/>
      </c>
      <c r="F309" s="41">
        <f>IF(OR($J309="",$J$1=""),"",IF(INDEX(Tarifa!$G$13:$G$512,$J309)="","",IF(NOT(ISNUMBER(INDEX(Tarifa!$G$13:$G$512,$J309))),"Revisa",IF($J$1=1,INDEX(Tarifa!$G$13:$G$512,$J309),ROUND(ROUND(INDEX(Tarifa!$G$13:$G$512,$J309)*(1+$J$2/100)/$J$3,0)*$J$3,2)))))</f>
        <v/>
      </c>
      <c r="G309" s="42">
        <f>IF(OR(NOT(ISNUMBER(F309)),N(E309)&lt;=1),"",ROUND(F309/E309,3))</f>
        <v/>
      </c>
      <c r="H309" s="43">
        <f>IF($J309="","",IF(INDEX(Tarifa!$H$13:$H$512,$J309)="","",INDEX(Tarifa!$H$13:$H$512,$J309)))</f>
        <v/>
      </c>
      <c r="I309" s="41">
        <f>IF(OR($M$3="No",$M$3="",NOT(ISNUMBER(F309))),"",IF(NOT(ISNUMBER(H309)),"Falta IVA",ROUND(F309*(1+(H309+IF($M$3="Con IVA y recargo",IF(H309=21,5.2,IF(H309=10,1.4,IF(H309=4,0.5,0))),0))/100),2)))</f>
        <v/>
      </c>
      <c r="J309">
        <f>IFERROR(MATCH(299,Tarifa!$O$13:$O$512,0),"")</f>
        <v/>
      </c>
    </row>
    <row r="310" ht="17" customHeight="1">
      <c r="A310" s="38">
        <f>IF($J310="","",IFERROR(IF(INDEX(Tarifa!$E$13:$E$512,$J310)&amp;""=INDEX(Tarifa!$E$13:$E$512,$J309)&amp;"","",INDEX(Tarifa!$E$13:$E$512,$J310)&amp;""),""))</f>
        <v/>
      </c>
      <c r="B310" s="39">
        <f>IF($J310="","",INDEX(Tarifa!$A$13:$A$512,$J310)&amp;"")</f>
        <v/>
      </c>
      <c r="C310" s="39">
        <f>IF($J310="","",INDEX(Tarifa!$B$13:$B$512,$J310)&amp;"")</f>
        <v/>
      </c>
      <c r="D310" s="39">
        <f>IF($J310="","",INDEX(Tarifa!$C$13:$C$512,$J310)&amp;"")</f>
        <v/>
      </c>
      <c r="E310" s="40">
        <f>IF($J310="","",IF(INDEX(Tarifa!$D$13:$D$512,$J310)="","",INDEX(Tarifa!$D$13:$D$512,$J310)))</f>
        <v/>
      </c>
      <c r="F310" s="41">
        <f>IF(OR($J310="",$J$1=""),"",IF(INDEX(Tarifa!$G$13:$G$512,$J310)="","",IF(NOT(ISNUMBER(INDEX(Tarifa!$G$13:$G$512,$J310))),"Revisa",IF($J$1=1,INDEX(Tarifa!$G$13:$G$512,$J310),ROUND(ROUND(INDEX(Tarifa!$G$13:$G$512,$J310)*(1+$J$2/100)/$J$3,0)*$J$3,2)))))</f>
        <v/>
      </c>
      <c r="G310" s="42">
        <f>IF(OR(NOT(ISNUMBER(F310)),N(E310)&lt;=1),"",ROUND(F310/E310,3))</f>
        <v/>
      </c>
      <c r="H310" s="43">
        <f>IF($J310="","",IF(INDEX(Tarifa!$H$13:$H$512,$J310)="","",INDEX(Tarifa!$H$13:$H$512,$J310)))</f>
        <v/>
      </c>
      <c r="I310" s="41">
        <f>IF(OR($M$3="No",$M$3="",NOT(ISNUMBER(F310))),"",IF(NOT(ISNUMBER(H310)),"Falta IVA",ROUND(F310*(1+(H310+IF($M$3="Con IVA y recargo",IF(H310=21,5.2,IF(H310=10,1.4,IF(H310=4,0.5,0))),0))/100),2)))</f>
        <v/>
      </c>
      <c r="J310">
        <f>IFERROR(MATCH(300,Tarifa!$O$13:$O$512,0),"")</f>
        <v/>
      </c>
    </row>
    <row r="311" ht="17" customHeight="1">
      <c r="A311" s="38">
        <f>IF($J311="","",IFERROR(IF(INDEX(Tarifa!$E$13:$E$512,$J311)&amp;""=INDEX(Tarifa!$E$13:$E$512,$J310)&amp;"","",INDEX(Tarifa!$E$13:$E$512,$J311)&amp;""),""))</f>
        <v/>
      </c>
      <c r="B311" s="39">
        <f>IF($J311="","",INDEX(Tarifa!$A$13:$A$512,$J311)&amp;"")</f>
        <v/>
      </c>
      <c r="C311" s="39">
        <f>IF($J311="","",INDEX(Tarifa!$B$13:$B$512,$J311)&amp;"")</f>
        <v/>
      </c>
      <c r="D311" s="39">
        <f>IF($J311="","",INDEX(Tarifa!$C$13:$C$512,$J311)&amp;"")</f>
        <v/>
      </c>
      <c r="E311" s="40">
        <f>IF($J311="","",IF(INDEX(Tarifa!$D$13:$D$512,$J311)="","",INDEX(Tarifa!$D$13:$D$512,$J311)))</f>
        <v/>
      </c>
      <c r="F311" s="41">
        <f>IF(OR($J311="",$J$1=""),"",IF(INDEX(Tarifa!$G$13:$G$512,$J311)="","",IF(NOT(ISNUMBER(INDEX(Tarifa!$G$13:$G$512,$J311))),"Revisa",IF($J$1=1,INDEX(Tarifa!$G$13:$G$512,$J311),ROUND(ROUND(INDEX(Tarifa!$G$13:$G$512,$J311)*(1+$J$2/100)/$J$3,0)*$J$3,2)))))</f>
        <v/>
      </c>
      <c r="G311" s="42">
        <f>IF(OR(NOT(ISNUMBER(F311)),N(E311)&lt;=1),"",ROUND(F311/E311,3))</f>
        <v/>
      </c>
      <c r="H311" s="43">
        <f>IF($J311="","",IF(INDEX(Tarifa!$H$13:$H$512,$J311)="","",INDEX(Tarifa!$H$13:$H$512,$J311)))</f>
        <v/>
      </c>
      <c r="I311" s="41">
        <f>IF(OR($M$3="No",$M$3="",NOT(ISNUMBER(F311))),"",IF(NOT(ISNUMBER(H311)),"Falta IVA",ROUND(F311*(1+(H311+IF($M$3="Con IVA y recargo",IF(H311=21,5.2,IF(H311=10,1.4,IF(H311=4,0.5,0))),0))/100),2)))</f>
        <v/>
      </c>
      <c r="J311">
        <f>IFERROR(MATCH(301,Tarifa!$O$13:$O$512,0),"")</f>
        <v/>
      </c>
    </row>
    <row r="312" ht="17" customHeight="1">
      <c r="A312" s="38">
        <f>IF($J312="","",IFERROR(IF(INDEX(Tarifa!$E$13:$E$512,$J312)&amp;""=INDEX(Tarifa!$E$13:$E$512,$J311)&amp;"","",INDEX(Tarifa!$E$13:$E$512,$J312)&amp;""),""))</f>
        <v/>
      </c>
      <c r="B312" s="39">
        <f>IF($J312="","",INDEX(Tarifa!$A$13:$A$512,$J312)&amp;"")</f>
        <v/>
      </c>
      <c r="C312" s="39">
        <f>IF($J312="","",INDEX(Tarifa!$B$13:$B$512,$J312)&amp;"")</f>
        <v/>
      </c>
      <c r="D312" s="39">
        <f>IF($J312="","",INDEX(Tarifa!$C$13:$C$512,$J312)&amp;"")</f>
        <v/>
      </c>
      <c r="E312" s="40">
        <f>IF($J312="","",IF(INDEX(Tarifa!$D$13:$D$512,$J312)="","",INDEX(Tarifa!$D$13:$D$512,$J312)))</f>
        <v/>
      </c>
      <c r="F312" s="41">
        <f>IF(OR($J312="",$J$1=""),"",IF(INDEX(Tarifa!$G$13:$G$512,$J312)="","",IF(NOT(ISNUMBER(INDEX(Tarifa!$G$13:$G$512,$J312))),"Revisa",IF($J$1=1,INDEX(Tarifa!$G$13:$G$512,$J312),ROUND(ROUND(INDEX(Tarifa!$G$13:$G$512,$J312)*(1+$J$2/100)/$J$3,0)*$J$3,2)))))</f>
        <v/>
      </c>
      <c r="G312" s="42">
        <f>IF(OR(NOT(ISNUMBER(F312)),N(E312)&lt;=1),"",ROUND(F312/E312,3))</f>
        <v/>
      </c>
      <c r="H312" s="43">
        <f>IF($J312="","",IF(INDEX(Tarifa!$H$13:$H$512,$J312)="","",INDEX(Tarifa!$H$13:$H$512,$J312)))</f>
        <v/>
      </c>
      <c r="I312" s="41">
        <f>IF(OR($M$3="No",$M$3="",NOT(ISNUMBER(F312))),"",IF(NOT(ISNUMBER(H312)),"Falta IVA",ROUND(F312*(1+(H312+IF($M$3="Con IVA y recargo",IF(H312=21,5.2,IF(H312=10,1.4,IF(H312=4,0.5,0))),0))/100),2)))</f>
        <v/>
      </c>
      <c r="J312">
        <f>IFERROR(MATCH(302,Tarifa!$O$13:$O$512,0),"")</f>
        <v/>
      </c>
    </row>
    <row r="313" ht="17" customHeight="1">
      <c r="A313" s="38">
        <f>IF($J313="","",IFERROR(IF(INDEX(Tarifa!$E$13:$E$512,$J313)&amp;""=INDEX(Tarifa!$E$13:$E$512,$J312)&amp;"","",INDEX(Tarifa!$E$13:$E$512,$J313)&amp;""),""))</f>
        <v/>
      </c>
      <c r="B313" s="39">
        <f>IF($J313="","",INDEX(Tarifa!$A$13:$A$512,$J313)&amp;"")</f>
        <v/>
      </c>
      <c r="C313" s="39">
        <f>IF($J313="","",INDEX(Tarifa!$B$13:$B$512,$J313)&amp;"")</f>
        <v/>
      </c>
      <c r="D313" s="39">
        <f>IF($J313="","",INDEX(Tarifa!$C$13:$C$512,$J313)&amp;"")</f>
        <v/>
      </c>
      <c r="E313" s="40">
        <f>IF($J313="","",IF(INDEX(Tarifa!$D$13:$D$512,$J313)="","",INDEX(Tarifa!$D$13:$D$512,$J313)))</f>
        <v/>
      </c>
      <c r="F313" s="41">
        <f>IF(OR($J313="",$J$1=""),"",IF(INDEX(Tarifa!$G$13:$G$512,$J313)="","",IF(NOT(ISNUMBER(INDEX(Tarifa!$G$13:$G$512,$J313))),"Revisa",IF($J$1=1,INDEX(Tarifa!$G$13:$G$512,$J313),ROUND(ROUND(INDEX(Tarifa!$G$13:$G$512,$J313)*(1+$J$2/100)/$J$3,0)*$J$3,2)))))</f>
        <v/>
      </c>
      <c r="G313" s="42">
        <f>IF(OR(NOT(ISNUMBER(F313)),N(E313)&lt;=1),"",ROUND(F313/E313,3))</f>
        <v/>
      </c>
      <c r="H313" s="43">
        <f>IF($J313="","",IF(INDEX(Tarifa!$H$13:$H$512,$J313)="","",INDEX(Tarifa!$H$13:$H$512,$J313)))</f>
        <v/>
      </c>
      <c r="I313" s="41">
        <f>IF(OR($M$3="No",$M$3="",NOT(ISNUMBER(F313))),"",IF(NOT(ISNUMBER(H313)),"Falta IVA",ROUND(F313*(1+(H313+IF($M$3="Con IVA y recargo",IF(H313=21,5.2,IF(H313=10,1.4,IF(H313=4,0.5,0))),0))/100),2)))</f>
        <v/>
      </c>
      <c r="J313">
        <f>IFERROR(MATCH(303,Tarifa!$O$13:$O$512,0),"")</f>
        <v/>
      </c>
    </row>
    <row r="314" ht="17" customHeight="1">
      <c r="A314" s="38">
        <f>IF($J314="","",IFERROR(IF(INDEX(Tarifa!$E$13:$E$512,$J314)&amp;""=INDEX(Tarifa!$E$13:$E$512,$J313)&amp;"","",INDEX(Tarifa!$E$13:$E$512,$J314)&amp;""),""))</f>
        <v/>
      </c>
      <c r="B314" s="39">
        <f>IF($J314="","",INDEX(Tarifa!$A$13:$A$512,$J314)&amp;"")</f>
        <v/>
      </c>
      <c r="C314" s="39">
        <f>IF($J314="","",INDEX(Tarifa!$B$13:$B$512,$J314)&amp;"")</f>
        <v/>
      </c>
      <c r="D314" s="39">
        <f>IF($J314="","",INDEX(Tarifa!$C$13:$C$512,$J314)&amp;"")</f>
        <v/>
      </c>
      <c r="E314" s="40">
        <f>IF($J314="","",IF(INDEX(Tarifa!$D$13:$D$512,$J314)="","",INDEX(Tarifa!$D$13:$D$512,$J314)))</f>
        <v/>
      </c>
      <c r="F314" s="41">
        <f>IF(OR($J314="",$J$1=""),"",IF(INDEX(Tarifa!$G$13:$G$512,$J314)="","",IF(NOT(ISNUMBER(INDEX(Tarifa!$G$13:$G$512,$J314))),"Revisa",IF($J$1=1,INDEX(Tarifa!$G$13:$G$512,$J314),ROUND(ROUND(INDEX(Tarifa!$G$13:$G$512,$J314)*(1+$J$2/100)/$J$3,0)*$J$3,2)))))</f>
        <v/>
      </c>
      <c r="G314" s="42">
        <f>IF(OR(NOT(ISNUMBER(F314)),N(E314)&lt;=1),"",ROUND(F314/E314,3))</f>
        <v/>
      </c>
      <c r="H314" s="43">
        <f>IF($J314="","",IF(INDEX(Tarifa!$H$13:$H$512,$J314)="","",INDEX(Tarifa!$H$13:$H$512,$J314)))</f>
        <v/>
      </c>
      <c r="I314" s="41">
        <f>IF(OR($M$3="No",$M$3="",NOT(ISNUMBER(F314))),"",IF(NOT(ISNUMBER(H314)),"Falta IVA",ROUND(F314*(1+(H314+IF($M$3="Con IVA y recargo",IF(H314=21,5.2,IF(H314=10,1.4,IF(H314=4,0.5,0))),0))/100),2)))</f>
        <v/>
      </c>
      <c r="J314">
        <f>IFERROR(MATCH(304,Tarifa!$O$13:$O$512,0),"")</f>
        <v/>
      </c>
    </row>
    <row r="315" ht="17" customHeight="1">
      <c r="A315" s="38">
        <f>IF($J315="","",IFERROR(IF(INDEX(Tarifa!$E$13:$E$512,$J315)&amp;""=INDEX(Tarifa!$E$13:$E$512,$J314)&amp;"","",INDEX(Tarifa!$E$13:$E$512,$J315)&amp;""),""))</f>
        <v/>
      </c>
      <c r="B315" s="39">
        <f>IF($J315="","",INDEX(Tarifa!$A$13:$A$512,$J315)&amp;"")</f>
        <v/>
      </c>
      <c r="C315" s="39">
        <f>IF($J315="","",INDEX(Tarifa!$B$13:$B$512,$J315)&amp;"")</f>
        <v/>
      </c>
      <c r="D315" s="39">
        <f>IF($J315="","",INDEX(Tarifa!$C$13:$C$512,$J315)&amp;"")</f>
        <v/>
      </c>
      <c r="E315" s="40">
        <f>IF($J315="","",IF(INDEX(Tarifa!$D$13:$D$512,$J315)="","",INDEX(Tarifa!$D$13:$D$512,$J315)))</f>
        <v/>
      </c>
      <c r="F315" s="41">
        <f>IF(OR($J315="",$J$1=""),"",IF(INDEX(Tarifa!$G$13:$G$512,$J315)="","",IF(NOT(ISNUMBER(INDEX(Tarifa!$G$13:$G$512,$J315))),"Revisa",IF($J$1=1,INDEX(Tarifa!$G$13:$G$512,$J315),ROUND(ROUND(INDEX(Tarifa!$G$13:$G$512,$J315)*(1+$J$2/100)/$J$3,0)*$J$3,2)))))</f>
        <v/>
      </c>
      <c r="G315" s="42">
        <f>IF(OR(NOT(ISNUMBER(F315)),N(E315)&lt;=1),"",ROUND(F315/E315,3))</f>
        <v/>
      </c>
      <c r="H315" s="43">
        <f>IF($J315="","",IF(INDEX(Tarifa!$H$13:$H$512,$J315)="","",INDEX(Tarifa!$H$13:$H$512,$J315)))</f>
        <v/>
      </c>
      <c r="I315" s="41">
        <f>IF(OR($M$3="No",$M$3="",NOT(ISNUMBER(F315))),"",IF(NOT(ISNUMBER(H315)),"Falta IVA",ROUND(F315*(1+(H315+IF($M$3="Con IVA y recargo",IF(H315=21,5.2,IF(H315=10,1.4,IF(H315=4,0.5,0))),0))/100),2)))</f>
        <v/>
      </c>
      <c r="J315">
        <f>IFERROR(MATCH(305,Tarifa!$O$13:$O$512,0),"")</f>
        <v/>
      </c>
    </row>
    <row r="316" ht="17" customHeight="1">
      <c r="A316" s="38">
        <f>IF($J316="","",IFERROR(IF(INDEX(Tarifa!$E$13:$E$512,$J316)&amp;""=INDEX(Tarifa!$E$13:$E$512,$J315)&amp;"","",INDEX(Tarifa!$E$13:$E$512,$J316)&amp;""),""))</f>
        <v/>
      </c>
      <c r="B316" s="39">
        <f>IF($J316="","",INDEX(Tarifa!$A$13:$A$512,$J316)&amp;"")</f>
        <v/>
      </c>
      <c r="C316" s="39">
        <f>IF($J316="","",INDEX(Tarifa!$B$13:$B$512,$J316)&amp;"")</f>
        <v/>
      </c>
      <c r="D316" s="39">
        <f>IF($J316="","",INDEX(Tarifa!$C$13:$C$512,$J316)&amp;"")</f>
        <v/>
      </c>
      <c r="E316" s="40">
        <f>IF($J316="","",IF(INDEX(Tarifa!$D$13:$D$512,$J316)="","",INDEX(Tarifa!$D$13:$D$512,$J316)))</f>
        <v/>
      </c>
      <c r="F316" s="41">
        <f>IF(OR($J316="",$J$1=""),"",IF(INDEX(Tarifa!$G$13:$G$512,$J316)="","",IF(NOT(ISNUMBER(INDEX(Tarifa!$G$13:$G$512,$J316))),"Revisa",IF($J$1=1,INDEX(Tarifa!$G$13:$G$512,$J316),ROUND(ROUND(INDEX(Tarifa!$G$13:$G$512,$J316)*(1+$J$2/100)/$J$3,0)*$J$3,2)))))</f>
        <v/>
      </c>
      <c r="G316" s="42">
        <f>IF(OR(NOT(ISNUMBER(F316)),N(E316)&lt;=1),"",ROUND(F316/E316,3))</f>
        <v/>
      </c>
      <c r="H316" s="43">
        <f>IF($J316="","",IF(INDEX(Tarifa!$H$13:$H$512,$J316)="","",INDEX(Tarifa!$H$13:$H$512,$J316)))</f>
        <v/>
      </c>
      <c r="I316" s="41">
        <f>IF(OR($M$3="No",$M$3="",NOT(ISNUMBER(F316))),"",IF(NOT(ISNUMBER(H316)),"Falta IVA",ROUND(F316*(1+(H316+IF($M$3="Con IVA y recargo",IF(H316=21,5.2,IF(H316=10,1.4,IF(H316=4,0.5,0))),0))/100),2)))</f>
        <v/>
      </c>
      <c r="J316">
        <f>IFERROR(MATCH(306,Tarifa!$O$13:$O$512,0),"")</f>
        <v/>
      </c>
    </row>
    <row r="317" ht="17" customHeight="1">
      <c r="A317" s="38">
        <f>IF($J317="","",IFERROR(IF(INDEX(Tarifa!$E$13:$E$512,$J317)&amp;""=INDEX(Tarifa!$E$13:$E$512,$J316)&amp;"","",INDEX(Tarifa!$E$13:$E$512,$J317)&amp;""),""))</f>
        <v/>
      </c>
      <c r="B317" s="39">
        <f>IF($J317="","",INDEX(Tarifa!$A$13:$A$512,$J317)&amp;"")</f>
        <v/>
      </c>
      <c r="C317" s="39">
        <f>IF($J317="","",INDEX(Tarifa!$B$13:$B$512,$J317)&amp;"")</f>
        <v/>
      </c>
      <c r="D317" s="39">
        <f>IF($J317="","",INDEX(Tarifa!$C$13:$C$512,$J317)&amp;"")</f>
        <v/>
      </c>
      <c r="E317" s="40">
        <f>IF($J317="","",IF(INDEX(Tarifa!$D$13:$D$512,$J317)="","",INDEX(Tarifa!$D$13:$D$512,$J317)))</f>
        <v/>
      </c>
      <c r="F317" s="41">
        <f>IF(OR($J317="",$J$1=""),"",IF(INDEX(Tarifa!$G$13:$G$512,$J317)="","",IF(NOT(ISNUMBER(INDEX(Tarifa!$G$13:$G$512,$J317))),"Revisa",IF($J$1=1,INDEX(Tarifa!$G$13:$G$512,$J317),ROUND(ROUND(INDEX(Tarifa!$G$13:$G$512,$J317)*(1+$J$2/100)/$J$3,0)*$J$3,2)))))</f>
        <v/>
      </c>
      <c r="G317" s="42">
        <f>IF(OR(NOT(ISNUMBER(F317)),N(E317)&lt;=1),"",ROUND(F317/E317,3))</f>
        <v/>
      </c>
      <c r="H317" s="43">
        <f>IF($J317="","",IF(INDEX(Tarifa!$H$13:$H$512,$J317)="","",INDEX(Tarifa!$H$13:$H$512,$J317)))</f>
        <v/>
      </c>
      <c r="I317" s="41">
        <f>IF(OR($M$3="No",$M$3="",NOT(ISNUMBER(F317))),"",IF(NOT(ISNUMBER(H317)),"Falta IVA",ROUND(F317*(1+(H317+IF($M$3="Con IVA y recargo",IF(H317=21,5.2,IF(H317=10,1.4,IF(H317=4,0.5,0))),0))/100),2)))</f>
        <v/>
      </c>
      <c r="J317">
        <f>IFERROR(MATCH(307,Tarifa!$O$13:$O$512,0),"")</f>
        <v/>
      </c>
    </row>
    <row r="318" ht="17" customHeight="1">
      <c r="A318" s="38">
        <f>IF($J318="","",IFERROR(IF(INDEX(Tarifa!$E$13:$E$512,$J318)&amp;""=INDEX(Tarifa!$E$13:$E$512,$J317)&amp;"","",INDEX(Tarifa!$E$13:$E$512,$J318)&amp;""),""))</f>
        <v/>
      </c>
      <c r="B318" s="39">
        <f>IF($J318="","",INDEX(Tarifa!$A$13:$A$512,$J318)&amp;"")</f>
        <v/>
      </c>
      <c r="C318" s="39">
        <f>IF($J318="","",INDEX(Tarifa!$B$13:$B$512,$J318)&amp;"")</f>
        <v/>
      </c>
      <c r="D318" s="39">
        <f>IF($J318="","",INDEX(Tarifa!$C$13:$C$512,$J318)&amp;"")</f>
        <v/>
      </c>
      <c r="E318" s="40">
        <f>IF($J318="","",IF(INDEX(Tarifa!$D$13:$D$512,$J318)="","",INDEX(Tarifa!$D$13:$D$512,$J318)))</f>
        <v/>
      </c>
      <c r="F318" s="41">
        <f>IF(OR($J318="",$J$1=""),"",IF(INDEX(Tarifa!$G$13:$G$512,$J318)="","",IF(NOT(ISNUMBER(INDEX(Tarifa!$G$13:$G$512,$J318))),"Revisa",IF($J$1=1,INDEX(Tarifa!$G$13:$G$512,$J318),ROUND(ROUND(INDEX(Tarifa!$G$13:$G$512,$J318)*(1+$J$2/100)/$J$3,0)*$J$3,2)))))</f>
        <v/>
      </c>
      <c r="G318" s="42">
        <f>IF(OR(NOT(ISNUMBER(F318)),N(E318)&lt;=1),"",ROUND(F318/E318,3))</f>
        <v/>
      </c>
      <c r="H318" s="43">
        <f>IF($J318="","",IF(INDEX(Tarifa!$H$13:$H$512,$J318)="","",INDEX(Tarifa!$H$13:$H$512,$J318)))</f>
        <v/>
      </c>
      <c r="I318" s="41">
        <f>IF(OR($M$3="No",$M$3="",NOT(ISNUMBER(F318))),"",IF(NOT(ISNUMBER(H318)),"Falta IVA",ROUND(F318*(1+(H318+IF($M$3="Con IVA y recargo",IF(H318=21,5.2,IF(H318=10,1.4,IF(H318=4,0.5,0))),0))/100),2)))</f>
        <v/>
      </c>
      <c r="J318">
        <f>IFERROR(MATCH(308,Tarifa!$O$13:$O$512,0),"")</f>
        <v/>
      </c>
    </row>
    <row r="319" ht="17" customHeight="1">
      <c r="A319" s="38">
        <f>IF($J319="","",IFERROR(IF(INDEX(Tarifa!$E$13:$E$512,$J319)&amp;""=INDEX(Tarifa!$E$13:$E$512,$J318)&amp;"","",INDEX(Tarifa!$E$13:$E$512,$J319)&amp;""),""))</f>
        <v/>
      </c>
      <c r="B319" s="39">
        <f>IF($J319="","",INDEX(Tarifa!$A$13:$A$512,$J319)&amp;"")</f>
        <v/>
      </c>
      <c r="C319" s="39">
        <f>IF($J319="","",INDEX(Tarifa!$B$13:$B$512,$J319)&amp;"")</f>
        <v/>
      </c>
      <c r="D319" s="39">
        <f>IF($J319="","",INDEX(Tarifa!$C$13:$C$512,$J319)&amp;"")</f>
        <v/>
      </c>
      <c r="E319" s="40">
        <f>IF($J319="","",IF(INDEX(Tarifa!$D$13:$D$512,$J319)="","",INDEX(Tarifa!$D$13:$D$512,$J319)))</f>
        <v/>
      </c>
      <c r="F319" s="41">
        <f>IF(OR($J319="",$J$1=""),"",IF(INDEX(Tarifa!$G$13:$G$512,$J319)="","",IF(NOT(ISNUMBER(INDEX(Tarifa!$G$13:$G$512,$J319))),"Revisa",IF($J$1=1,INDEX(Tarifa!$G$13:$G$512,$J319),ROUND(ROUND(INDEX(Tarifa!$G$13:$G$512,$J319)*(1+$J$2/100)/$J$3,0)*$J$3,2)))))</f>
        <v/>
      </c>
      <c r="G319" s="42">
        <f>IF(OR(NOT(ISNUMBER(F319)),N(E319)&lt;=1),"",ROUND(F319/E319,3))</f>
        <v/>
      </c>
      <c r="H319" s="43">
        <f>IF($J319="","",IF(INDEX(Tarifa!$H$13:$H$512,$J319)="","",INDEX(Tarifa!$H$13:$H$512,$J319)))</f>
        <v/>
      </c>
      <c r="I319" s="41">
        <f>IF(OR($M$3="No",$M$3="",NOT(ISNUMBER(F319))),"",IF(NOT(ISNUMBER(H319)),"Falta IVA",ROUND(F319*(1+(H319+IF($M$3="Con IVA y recargo",IF(H319=21,5.2,IF(H319=10,1.4,IF(H319=4,0.5,0))),0))/100),2)))</f>
        <v/>
      </c>
      <c r="J319">
        <f>IFERROR(MATCH(309,Tarifa!$O$13:$O$512,0),"")</f>
        <v/>
      </c>
    </row>
    <row r="320" ht="17" customHeight="1">
      <c r="A320" s="38">
        <f>IF($J320="","",IFERROR(IF(INDEX(Tarifa!$E$13:$E$512,$J320)&amp;""=INDEX(Tarifa!$E$13:$E$512,$J319)&amp;"","",INDEX(Tarifa!$E$13:$E$512,$J320)&amp;""),""))</f>
        <v/>
      </c>
      <c r="B320" s="39">
        <f>IF($J320="","",INDEX(Tarifa!$A$13:$A$512,$J320)&amp;"")</f>
        <v/>
      </c>
      <c r="C320" s="39">
        <f>IF($J320="","",INDEX(Tarifa!$B$13:$B$512,$J320)&amp;"")</f>
        <v/>
      </c>
      <c r="D320" s="39">
        <f>IF($J320="","",INDEX(Tarifa!$C$13:$C$512,$J320)&amp;"")</f>
        <v/>
      </c>
      <c r="E320" s="40">
        <f>IF($J320="","",IF(INDEX(Tarifa!$D$13:$D$512,$J320)="","",INDEX(Tarifa!$D$13:$D$512,$J320)))</f>
        <v/>
      </c>
      <c r="F320" s="41">
        <f>IF(OR($J320="",$J$1=""),"",IF(INDEX(Tarifa!$G$13:$G$512,$J320)="","",IF(NOT(ISNUMBER(INDEX(Tarifa!$G$13:$G$512,$J320))),"Revisa",IF($J$1=1,INDEX(Tarifa!$G$13:$G$512,$J320),ROUND(ROUND(INDEX(Tarifa!$G$13:$G$512,$J320)*(1+$J$2/100)/$J$3,0)*$J$3,2)))))</f>
        <v/>
      </c>
      <c r="G320" s="42">
        <f>IF(OR(NOT(ISNUMBER(F320)),N(E320)&lt;=1),"",ROUND(F320/E320,3))</f>
        <v/>
      </c>
      <c r="H320" s="43">
        <f>IF($J320="","",IF(INDEX(Tarifa!$H$13:$H$512,$J320)="","",INDEX(Tarifa!$H$13:$H$512,$J320)))</f>
        <v/>
      </c>
      <c r="I320" s="41">
        <f>IF(OR($M$3="No",$M$3="",NOT(ISNUMBER(F320))),"",IF(NOT(ISNUMBER(H320)),"Falta IVA",ROUND(F320*(1+(H320+IF($M$3="Con IVA y recargo",IF(H320=21,5.2,IF(H320=10,1.4,IF(H320=4,0.5,0))),0))/100),2)))</f>
        <v/>
      </c>
      <c r="J320">
        <f>IFERROR(MATCH(310,Tarifa!$O$13:$O$512,0),"")</f>
        <v/>
      </c>
    </row>
    <row r="321" ht="17" customHeight="1">
      <c r="A321" s="38">
        <f>IF($J321="","",IFERROR(IF(INDEX(Tarifa!$E$13:$E$512,$J321)&amp;""=INDEX(Tarifa!$E$13:$E$512,$J320)&amp;"","",INDEX(Tarifa!$E$13:$E$512,$J321)&amp;""),""))</f>
        <v/>
      </c>
      <c r="B321" s="39">
        <f>IF($J321="","",INDEX(Tarifa!$A$13:$A$512,$J321)&amp;"")</f>
        <v/>
      </c>
      <c r="C321" s="39">
        <f>IF($J321="","",INDEX(Tarifa!$B$13:$B$512,$J321)&amp;"")</f>
        <v/>
      </c>
      <c r="D321" s="39">
        <f>IF($J321="","",INDEX(Tarifa!$C$13:$C$512,$J321)&amp;"")</f>
        <v/>
      </c>
      <c r="E321" s="40">
        <f>IF($J321="","",IF(INDEX(Tarifa!$D$13:$D$512,$J321)="","",INDEX(Tarifa!$D$13:$D$512,$J321)))</f>
        <v/>
      </c>
      <c r="F321" s="41">
        <f>IF(OR($J321="",$J$1=""),"",IF(INDEX(Tarifa!$G$13:$G$512,$J321)="","",IF(NOT(ISNUMBER(INDEX(Tarifa!$G$13:$G$512,$J321))),"Revisa",IF($J$1=1,INDEX(Tarifa!$G$13:$G$512,$J321),ROUND(ROUND(INDEX(Tarifa!$G$13:$G$512,$J321)*(1+$J$2/100)/$J$3,0)*$J$3,2)))))</f>
        <v/>
      </c>
      <c r="G321" s="42">
        <f>IF(OR(NOT(ISNUMBER(F321)),N(E321)&lt;=1),"",ROUND(F321/E321,3))</f>
        <v/>
      </c>
      <c r="H321" s="43">
        <f>IF($J321="","",IF(INDEX(Tarifa!$H$13:$H$512,$J321)="","",INDEX(Tarifa!$H$13:$H$512,$J321)))</f>
        <v/>
      </c>
      <c r="I321" s="41">
        <f>IF(OR($M$3="No",$M$3="",NOT(ISNUMBER(F321))),"",IF(NOT(ISNUMBER(H321)),"Falta IVA",ROUND(F321*(1+(H321+IF($M$3="Con IVA y recargo",IF(H321=21,5.2,IF(H321=10,1.4,IF(H321=4,0.5,0))),0))/100),2)))</f>
        <v/>
      </c>
      <c r="J321">
        <f>IFERROR(MATCH(311,Tarifa!$O$13:$O$512,0),"")</f>
        <v/>
      </c>
    </row>
    <row r="322" ht="17" customHeight="1">
      <c r="A322" s="38">
        <f>IF($J322="","",IFERROR(IF(INDEX(Tarifa!$E$13:$E$512,$J322)&amp;""=INDEX(Tarifa!$E$13:$E$512,$J321)&amp;"","",INDEX(Tarifa!$E$13:$E$512,$J322)&amp;""),""))</f>
        <v/>
      </c>
      <c r="B322" s="39">
        <f>IF($J322="","",INDEX(Tarifa!$A$13:$A$512,$J322)&amp;"")</f>
        <v/>
      </c>
      <c r="C322" s="39">
        <f>IF($J322="","",INDEX(Tarifa!$B$13:$B$512,$J322)&amp;"")</f>
        <v/>
      </c>
      <c r="D322" s="39">
        <f>IF($J322="","",INDEX(Tarifa!$C$13:$C$512,$J322)&amp;"")</f>
        <v/>
      </c>
      <c r="E322" s="40">
        <f>IF($J322="","",IF(INDEX(Tarifa!$D$13:$D$512,$J322)="","",INDEX(Tarifa!$D$13:$D$512,$J322)))</f>
        <v/>
      </c>
      <c r="F322" s="41">
        <f>IF(OR($J322="",$J$1=""),"",IF(INDEX(Tarifa!$G$13:$G$512,$J322)="","",IF(NOT(ISNUMBER(INDEX(Tarifa!$G$13:$G$512,$J322))),"Revisa",IF($J$1=1,INDEX(Tarifa!$G$13:$G$512,$J322),ROUND(ROUND(INDEX(Tarifa!$G$13:$G$512,$J322)*(1+$J$2/100)/$J$3,0)*$J$3,2)))))</f>
        <v/>
      </c>
      <c r="G322" s="42">
        <f>IF(OR(NOT(ISNUMBER(F322)),N(E322)&lt;=1),"",ROUND(F322/E322,3))</f>
        <v/>
      </c>
      <c r="H322" s="43">
        <f>IF($J322="","",IF(INDEX(Tarifa!$H$13:$H$512,$J322)="","",INDEX(Tarifa!$H$13:$H$512,$J322)))</f>
        <v/>
      </c>
      <c r="I322" s="41">
        <f>IF(OR($M$3="No",$M$3="",NOT(ISNUMBER(F322))),"",IF(NOT(ISNUMBER(H322)),"Falta IVA",ROUND(F322*(1+(H322+IF($M$3="Con IVA y recargo",IF(H322=21,5.2,IF(H322=10,1.4,IF(H322=4,0.5,0))),0))/100),2)))</f>
        <v/>
      </c>
      <c r="J322">
        <f>IFERROR(MATCH(312,Tarifa!$O$13:$O$512,0),"")</f>
        <v/>
      </c>
    </row>
    <row r="323" ht="17" customHeight="1">
      <c r="A323" s="38">
        <f>IF($J323="","",IFERROR(IF(INDEX(Tarifa!$E$13:$E$512,$J323)&amp;""=INDEX(Tarifa!$E$13:$E$512,$J322)&amp;"","",INDEX(Tarifa!$E$13:$E$512,$J323)&amp;""),""))</f>
        <v/>
      </c>
      <c r="B323" s="39">
        <f>IF($J323="","",INDEX(Tarifa!$A$13:$A$512,$J323)&amp;"")</f>
        <v/>
      </c>
      <c r="C323" s="39">
        <f>IF($J323="","",INDEX(Tarifa!$B$13:$B$512,$J323)&amp;"")</f>
        <v/>
      </c>
      <c r="D323" s="39">
        <f>IF($J323="","",INDEX(Tarifa!$C$13:$C$512,$J323)&amp;"")</f>
        <v/>
      </c>
      <c r="E323" s="40">
        <f>IF($J323="","",IF(INDEX(Tarifa!$D$13:$D$512,$J323)="","",INDEX(Tarifa!$D$13:$D$512,$J323)))</f>
        <v/>
      </c>
      <c r="F323" s="41">
        <f>IF(OR($J323="",$J$1=""),"",IF(INDEX(Tarifa!$G$13:$G$512,$J323)="","",IF(NOT(ISNUMBER(INDEX(Tarifa!$G$13:$G$512,$J323))),"Revisa",IF($J$1=1,INDEX(Tarifa!$G$13:$G$512,$J323),ROUND(ROUND(INDEX(Tarifa!$G$13:$G$512,$J323)*(1+$J$2/100)/$J$3,0)*$J$3,2)))))</f>
        <v/>
      </c>
      <c r="G323" s="42">
        <f>IF(OR(NOT(ISNUMBER(F323)),N(E323)&lt;=1),"",ROUND(F323/E323,3))</f>
        <v/>
      </c>
      <c r="H323" s="43">
        <f>IF($J323="","",IF(INDEX(Tarifa!$H$13:$H$512,$J323)="","",INDEX(Tarifa!$H$13:$H$512,$J323)))</f>
        <v/>
      </c>
      <c r="I323" s="41">
        <f>IF(OR($M$3="No",$M$3="",NOT(ISNUMBER(F323))),"",IF(NOT(ISNUMBER(H323)),"Falta IVA",ROUND(F323*(1+(H323+IF($M$3="Con IVA y recargo",IF(H323=21,5.2,IF(H323=10,1.4,IF(H323=4,0.5,0))),0))/100),2)))</f>
        <v/>
      </c>
      <c r="J323">
        <f>IFERROR(MATCH(313,Tarifa!$O$13:$O$512,0),"")</f>
        <v/>
      </c>
    </row>
    <row r="324" ht="17" customHeight="1">
      <c r="A324" s="38">
        <f>IF($J324="","",IFERROR(IF(INDEX(Tarifa!$E$13:$E$512,$J324)&amp;""=INDEX(Tarifa!$E$13:$E$512,$J323)&amp;"","",INDEX(Tarifa!$E$13:$E$512,$J324)&amp;""),""))</f>
        <v/>
      </c>
      <c r="B324" s="39">
        <f>IF($J324="","",INDEX(Tarifa!$A$13:$A$512,$J324)&amp;"")</f>
        <v/>
      </c>
      <c r="C324" s="39">
        <f>IF($J324="","",INDEX(Tarifa!$B$13:$B$512,$J324)&amp;"")</f>
        <v/>
      </c>
      <c r="D324" s="39">
        <f>IF($J324="","",INDEX(Tarifa!$C$13:$C$512,$J324)&amp;"")</f>
        <v/>
      </c>
      <c r="E324" s="40">
        <f>IF($J324="","",IF(INDEX(Tarifa!$D$13:$D$512,$J324)="","",INDEX(Tarifa!$D$13:$D$512,$J324)))</f>
        <v/>
      </c>
      <c r="F324" s="41">
        <f>IF(OR($J324="",$J$1=""),"",IF(INDEX(Tarifa!$G$13:$G$512,$J324)="","",IF(NOT(ISNUMBER(INDEX(Tarifa!$G$13:$G$512,$J324))),"Revisa",IF($J$1=1,INDEX(Tarifa!$G$13:$G$512,$J324),ROUND(ROUND(INDEX(Tarifa!$G$13:$G$512,$J324)*(1+$J$2/100)/$J$3,0)*$J$3,2)))))</f>
        <v/>
      </c>
      <c r="G324" s="42">
        <f>IF(OR(NOT(ISNUMBER(F324)),N(E324)&lt;=1),"",ROUND(F324/E324,3))</f>
        <v/>
      </c>
      <c r="H324" s="43">
        <f>IF($J324="","",IF(INDEX(Tarifa!$H$13:$H$512,$J324)="","",INDEX(Tarifa!$H$13:$H$512,$J324)))</f>
        <v/>
      </c>
      <c r="I324" s="41">
        <f>IF(OR($M$3="No",$M$3="",NOT(ISNUMBER(F324))),"",IF(NOT(ISNUMBER(H324)),"Falta IVA",ROUND(F324*(1+(H324+IF($M$3="Con IVA y recargo",IF(H324=21,5.2,IF(H324=10,1.4,IF(H324=4,0.5,0))),0))/100),2)))</f>
        <v/>
      </c>
      <c r="J324">
        <f>IFERROR(MATCH(314,Tarifa!$O$13:$O$512,0),"")</f>
        <v/>
      </c>
    </row>
    <row r="325" ht="17" customHeight="1">
      <c r="A325" s="38">
        <f>IF($J325="","",IFERROR(IF(INDEX(Tarifa!$E$13:$E$512,$J325)&amp;""=INDEX(Tarifa!$E$13:$E$512,$J324)&amp;"","",INDEX(Tarifa!$E$13:$E$512,$J325)&amp;""),""))</f>
        <v/>
      </c>
      <c r="B325" s="39">
        <f>IF($J325="","",INDEX(Tarifa!$A$13:$A$512,$J325)&amp;"")</f>
        <v/>
      </c>
      <c r="C325" s="39">
        <f>IF($J325="","",INDEX(Tarifa!$B$13:$B$512,$J325)&amp;"")</f>
        <v/>
      </c>
      <c r="D325" s="39">
        <f>IF($J325="","",INDEX(Tarifa!$C$13:$C$512,$J325)&amp;"")</f>
        <v/>
      </c>
      <c r="E325" s="40">
        <f>IF($J325="","",IF(INDEX(Tarifa!$D$13:$D$512,$J325)="","",INDEX(Tarifa!$D$13:$D$512,$J325)))</f>
        <v/>
      </c>
      <c r="F325" s="41">
        <f>IF(OR($J325="",$J$1=""),"",IF(INDEX(Tarifa!$G$13:$G$512,$J325)="","",IF(NOT(ISNUMBER(INDEX(Tarifa!$G$13:$G$512,$J325))),"Revisa",IF($J$1=1,INDEX(Tarifa!$G$13:$G$512,$J325),ROUND(ROUND(INDEX(Tarifa!$G$13:$G$512,$J325)*(1+$J$2/100)/$J$3,0)*$J$3,2)))))</f>
        <v/>
      </c>
      <c r="G325" s="42">
        <f>IF(OR(NOT(ISNUMBER(F325)),N(E325)&lt;=1),"",ROUND(F325/E325,3))</f>
        <v/>
      </c>
      <c r="H325" s="43">
        <f>IF($J325="","",IF(INDEX(Tarifa!$H$13:$H$512,$J325)="","",INDEX(Tarifa!$H$13:$H$512,$J325)))</f>
        <v/>
      </c>
      <c r="I325" s="41">
        <f>IF(OR($M$3="No",$M$3="",NOT(ISNUMBER(F325))),"",IF(NOT(ISNUMBER(H325)),"Falta IVA",ROUND(F325*(1+(H325+IF($M$3="Con IVA y recargo",IF(H325=21,5.2,IF(H325=10,1.4,IF(H325=4,0.5,0))),0))/100),2)))</f>
        <v/>
      </c>
      <c r="J325">
        <f>IFERROR(MATCH(315,Tarifa!$O$13:$O$512,0),"")</f>
        <v/>
      </c>
    </row>
    <row r="326" ht="17" customHeight="1">
      <c r="A326" s="38">
        <f>IF($J326="","",IFERROR(IF(INDEX(Tarifa!$E$13:$E$512,$J326)&amp;""=INDEX(Tarifa!$E$13:$E$512,$J325)&amp;"","",INDEX(Tarifa!$E$13:$E$512,$J326)&amp;""),""))</f>
        <v/>
      </c>
      <c r="B326" s="39">
        <f>IF($J326="","",INDEX(Tarifa!$A$13:$A$512,$J326)&amp;"")</f>
        <v/>
      </c>
      <c r="C326" s="39">
        <f>IF($J326="","",INDEX(Tarifa!$B$13:$B$512,$J326)&amp;"")</f>
        <v/>
      </c>
      <c r="D326" s="39">
        <f>IF($J326="","",INDEX(Tarifa!$C$13:$C$512,$J326)&amp;"")</f>
        <v/>
      </c>
      <c r="E326" s="40">
        <f>IF($J326="","",IF(INDEX(Tarifa!$D$13:$D$512,$J326)="","",INDEX(Tarifa!$D$13:$D$512,$J326)))</f>
        <v/>
      </c>
      <c r="F326" s="41">
        <f>IF(OR($J326="",$J$1=""),"",IF(INDEX(Tarifa!$G$13:$G$512,$J326)="","",IF(NOT(ISNUMBER(INDEX(Tarifa!$G$13:$G$512,$J326))),"Revisa",IF($J$1=1,INDEX(Tarifa!$G$13:$G$512,$J326),ROUND(ROUND(INDEX(Tarifa!$G$13:$G$512,$J326)*(1+$J$2/100)/$J$3,0)*$J$3,2)))))</f>
        <v/>
      </c>
      <c r="G326" s="42">
        <f>IF(OR(NOT(ISNUMBER(F326)),N(E326)&lt;=1),"",ROUND(F326/E326,3))</f>
        <v/>
      </c>
      <c r="H326" s="43">
        <f>IF($J326="","",IF(INDEX(Tarifa!$H$13:$H$512,$J326)="","",INDEX(Tarifa!$H$13:$H$512,$J326)))</f>
        <v/>
      </c>
      <c r="I326" s="41">
        <f>IF(OR($M$3="No",$M$3="",NOT(ISNUMBER(F326))),"",IF(NOT(ISNUMBER(H326)),"Falta IVA",ROUND(F326*(1+(H326+IF($M$3="Con IVA y recargo",IF(H326=21,5.2,IF(H326=10,1.4,IF(H326=4,0.5,0))),0))/100),2)))</f>
        <v/>
      </c>
      <c r="J326">
        <f>IFERROR(MATCH(316,Tarifa!$O$13:$O$512,0),"")</f>
        <v/>
      </c>
    </row>
    <row r="327" ht="17" customHeight="1">
      <c r="A327" s="38">
        <f>IF($J327="","",IFERROR(IF(INDEX(Tarifa!$E$13:$E$512,$J327)&amp;""=INDEX(Tarifa!$E$13:$E$512,$J326)&amp;"","",INDEX(Tarifa!$E$13:$E$512,$J327)&amp;""),""))</f>
        <v/>
      </c>
      <c r="B327" s="39">
        <f>IF($J327="","",INDEX(Tarifa!$A$13:$A$512,$J327)&amp;"")</f>
        <v/>
      </c>
      <c r="C327" s="39">
        <f>IF($J327="","",INDEX(Tarifa!$B$13:$B$512,$J327)&amp;"")</f>
        <v/>
      </c>
      <c r="D327" s="39">
        <f>IF($J327="","",INDEX(Tarifa!$C$13:$C$512,$J327)&amp;"")</f>
        <v/>
      </c>
      <c r="E327" s="40">
        <f>IF($J327="","",IF(INDEX(Tarifa!$D$13:$D$512,$J327)="","",INDEX(Tarifa!$D$13:$D$512,$J327)))</f>
        <v/>
      </c>
      <c r="F327" s="41">
        <f>IF(OR($J327="",$J$1=""),"",IF(INDEX(Tarifa!$G$13:$G$512,$J327)="","",IF(NOT(ISNUMBER(INDEX(Tarifa!$G$13:$G$512,$J327))),"Revisa",IF($J$1=1,INDEX(Tarifa!$G$13:$G$512,$J327),ROUND(ROUND(INDEX(Tarifa!$G$13:$G$512,$J327)*(1+$J$2/100)/$J$3,0)*$J$3,2)))))</f>
        <v/>
      </c>
      <c r="G327" s="42">
        <f>IF(OR(NOT(ISNUMBER(F327)),N(E327)&lt;=1),"",ROUND(F327/E327,3))</f>
        <v/>
      </c>
      <c r="H327" s="43">
        <f>IF($J327="","",IF(INDEX(Tarifa!$H$13:$H$512,$J327)="","",INDEX(Tarifa!$H$13:$H$512,$J327)))</f>
        <v/>
      </c>
      <c r="I327" s="41">
        <f>IF(OR($M$3="No",$M$3="",NOT(ISNUMBER(F327))),"",IF(NOT(ISNUMBER(H327)),"Falta IVA",ROUND(F327*(1+(H327+IF($M$3="Con IVA y recargo",IF(H327=21,5.2,IF(H327=10,1.4,IF(H327=4,0.5,0))),0))/100),2)))</f>
        <v/>
      </c>
      <c r="J327">
        <f>IFERROR(MATCH(317,Tarifa!$O$13:$O$512,0),"")</f>
        <v/>
      </c>
    </row>
    <row r="328" ht="17" customHeight="1">
      <c r="A328" s="38">
        <f>IF($J328="","",IFERROR(IF(INDEX(Tarifa!$E$13:$E$512,$J328)&amp;""=INDEX(Tarifa!$E$13:$E$512,$J327)&amp;"","",INDEX(Tarifa!$E$13:$E$512,$J328)&amp;""),""))</f>
        <v/>
      </c>
      <c r="B328" s="39">
        <f>IF($J328="","",INDEX(Tarifa!$A$13:$A$512,$J328)&amp;"")</f>
        <v/>
      </c>
      <c r="C328" s="39">
        <f>IF($J328="","",INDEX(Tarifa!$B$13:$B$512,$J328)&amp;"")</f>
        <v/>
      </c>
      <c r="D328" s="39">
        <f>IF($J328="","",INDEX(Tarifa!$C$13:$C$512,$J328)&amp;"")</f>
        <v/>
      </c>
      <c r="E328" s="40">
        <f>IF($J328="","",IF(INDEX(Tarifa!$D$13:$D$512,$J328)="","",INDEX(Tarifa!$D$13:$D$512,$J328)))</f>
        <v/>
      </c>
      <c r="F328" s="41">
        <f>IF(OR($J328="",$J$1=""),"",IF(INDEX(Tarifa!$G$13:$G$512,$J328)="","",IF(NOT(ISNUMBER(INDEX(Tarifa!$G$13:$G$512,$J328))),"Revisa",IF($J$1=1,INDEX(Tarifa!$G$13:$G$512,$J328),ROUND(ROUND(INDEX(Tarifa!$G$13:$G$512,$J328)*(1+$J$2/100)/$J$3,0)*$J$3,2)))))</f>
        <v/>
      </c>
      <c r="G328" s="42">
        <f>IF(OR(NOT(ISNUMBER(F328)),N(E328)&lt;=1),"",ROUND(F328/E328,3))</f>
        <v/>
      </c>
      <c r="H328" s="43">
        <f>IF($J328="","",IF(INDEX(Tarifa!$H$13:$H$512,$J328)="","",INDEX(Tarifa!$H$13:$H$512,$J328)))</f>
        <v/>
      </c>
      <c r="I328" s="41">
        <f>IF(OR($M$3="No",$M$3="",NOT(ISNUMBER(F328))),"",IF(NOT(ISNUMBER(H328)),"Falta IVA",ROUND(F328*(1+(H328+IF($M$3="Con IVA y recargo",IF(H328=21,5.2,IF(H328=10,1.4,IF(H328=4,0.5,0))),0))/100),2)))</f>
        <v/>
      </c>
      <c r="J328">
        <f>IFERROR(MATCH(318,Tarifa!$O$13:$O$512,0),"")</f>
        <v/>
      </c>
    </row>
    <row r="329" ht="17" customHeight="1">
      <c r="A329" s="38">
        <f>IF($J329="","",IFERROR(IF(INDEX(Tarifa!$E$13:$E$512,$J329)&amp;""=INDEX(Tarifa!$E$13:$E$512,$J328)&amp;"","",INDEX(Tarifa!$E$13:$E$512,$J329)&amp;""),""))</f>
        <v/>
      </c>
      <c r="B329" s="39">
        <f>IF($J329="","",INDEX(Tarifa!$A$13:$A$512,$J329)&amp;"")</f>
        <v/>
      </c>
      <c r="C329" s="39">
        <f>IF($J329="","",INDEX(Tarifa!$B$13:$B$512,$J329)&amp;"")</f>
        <v/>
      </c>
      <c r="D329" s="39">
        <f>IF($J329="","",INDEX(Tarifa!$C$13:$C$512,$J329)&amp;"")</f>
        <v/>
      </c>
      <c r="E329" s="40">
        <f>IF($J329="","",IF(INDEX(Tarifa!$D$13:$D$512,$J329)="","",INDEX(Tarifa!$D$13:$D$512,$J329)))</f>
        <v/>
      </c>
      <c r="F329" s="41">
        <f>IF(OR($J329="",$J$1=""),"",IF(INDEX(Tarifa!$G$13:$G$512,$J329)="","",IF(NOT(ISNUMBER(INDEX(Tarifa!$G$13:$G$512,$J329))),"Revisa",IF($J$1=1,INDEX(Tarifa!$G$13:$G$512,$J329),ROUND(ROUND(INDEX(Tarifa!$G$13:$G$512,$J329)*(1+$J$2/100)/$J$3,0)*$J$3,2)))))</f>
        <v/>
      </c>
      <c r="G329" s="42">
        <f>IF(OR(NOT(ISNUMBER(F329)),N(E329)&lt;=1),"",ROUND(F329/E329,3))</f>
        <v/>
      </c>
      <c r="H329" s="43">
        <f>IF($J329="","",IF(INDEX(Tarifa!$H$13:$H$512,$J329)="","",INDEX(Tarifa!$H$13:$H$512,$J329)))</f>
        <v/>
      </c>
      <c r="I329" s="41">
        <f>IF(OR($M$3="No",$M$3="",NOT(ISNUMBER(F329))),"",IF(NOT(ISNUMBER(H329)),"Falta IVA",ROUND(F329*(1+(H329+IF($M$3="Con IVA y recargo",IF(H329=21,5.2,IF(H329=10,1.4,IF(H329=4,0.5,0))),0))/100),2)))</f>
        <v/>
      </c>
      <c r="J329">
        <f>IFERROR(MATCH(319,Tarifa!$O$13:$O$512,0),"")</f>
        <v/>
      </c>
    </row>
    <row r="330" ht="17" customHeight="1">
      <c r="A330" s="38">
        <f>IF($J330="","",IFERROR(IF(INDEX(Tarifa!$E$13:$E$512,$J330)&amp;""=INDEX(Tarifa!$E$13:$E$512,$J329)&amp;"","",INDEX(Tarifa!$E$13:$E$512,$J330)&amp;""),""))</f>
        <v/>
      </c>
      <c r="B330" s="39">
        <f>IF($J330="","",INDEX(Tarifa!$A$13:$A$512,$J330)&amp;"")</f>
        <v/>
      </c>
      <c r="C330" s="39">
        <f>IF($J330="","",INDEX(Tarifa!$B$13:$B$512,$J330)&amp;"")</f>
        <v/>
      </c>
      <c r="D330" s="39">
        <f>IF($J330="","",INDEX(Tarifa!$C$13:$C$512,$J330)&amp;"")</f>
        <v/>
      </c>
      <c r="E330" s="40">
        <f>IF($J330="","",IF(INDEX(Tarifa!$D$13:$D$512,$J330)="","",INDEX(Tarifa!$D$13:$D$512,$J330)))</f>
        <v/>
      </c>
      <c r="F330" s="41">
        <f>IF(OR($J330="",$J$1=""),"",IF(INDEX(Tarifa!$G$13:$G$512,$J330)="","",IF(NOT(ISNUMBER(INDEX(Tarifa!$G$13:$G$512,$J330))),"Revisa",IF($J$1=1,INDEX(Tarifa!$G$13:$G$512,$J330),ROUND(ROUND(INDEX(Tarifa!$G$13:$G$512,$J330)*(1+$J$2/100)/$J$3,0)*$J$3,2)))))</f>
        <v/>
      </c>
      <c r="G330" s="42">
        <f>IF(OR(NOT(ISNUMBER(F330)),N(E330)&lt;=1),"",ROUND(F330/E330,3))</f>
        <v/>
      </c>
      <c r="H330" s="43">
        <f>IF($J330="","",IF(INDEX(Tarifa!$H$13:$H$512,$J330)="","",INDEX(Tarifa!$H$13:$H$512,$J330)))</f>
        <v/>
      </c>
      <c r="I330" s="41">
        <f>IF(OR($M$3="No",$M$3="",NOT(ISNUMBER(F330))),"",IF(NOT(ISNUMBER(H330)),"Falta IVA",ROUND(F330*(1+(H330+IF($M$3="Con IVA y recargo",IF(H330=21,5.2,IF(H330=10,1.4,IF(H330=4,0.5,0))),0))/100),2)))</f>
        <v/>
      </c>
      <c r="J330">
        <f>IFERROR(MATCH(320,Tarifa!$O$13:$O$512,0),"")</f>
        <v/>
      </c>
    </row>
    <row r="331" ht="17" customHeight="1">
      <c r="A331" s="38">
        <f>IF($J331="","",IFERROR(IF(INDEX(Tarifa!$E$13:$E$512,$J331)&amp;""=INDEX(Tarifa!$E$13:$E$512,$J330)&amp;"","",INDEX(Tarifa!$E$13:$E$512,$J331)&amp;""),""))</f>
        <v/>
      </c>
      <c r="B331" s="39">
        <f>IF($J331="","",INDEX(Tarifa!$A$13:$A$512,$J331)&amp;"")</f>
        <v/>
      </c>
      <c r="C331" s="39">
        <f>IF($J331="","",INDEX(Tarifa!$B$13:$B$512,$J331)&amp;"")</f>
        <v/>
      </c>
      <c r="D331" s="39">
        <f>IF($J331="","",INDEX(Tarifa!$C$13:$C$512,$J331)&amp;"")</f>
        <v/>
      </c>
      <c r="E331" s="40">
        <f>IF($J331="","",IF(INDEX(Tarifa!$D$13:$D$512,$J331)="","",INDEX(Tarifa!$D$13:$D$512,$J331)))</f>
        <v/>
      </c>
      <c r="F331" s="41">
        <f>IF(OR($J331="",$J$1=""),"",IF(INDEX(Tarifa!$G$13:$G$512,$J331)="","",IF(NOT(ISNUMBER(INDEX(Tarifa!$G$13:$G$512,$J331))),"Revisa",IF($J$1=1,INDEX(Tarifa!$G$13:$G$512,$J331),ROUND(ROUND(INDEX(Tarifa!$G$13:$G$512,$J331)*(1+$J$2/100)/$J$3,0)*$J$3,2)))))</f>
        <v/>
      </c>
      <c r="G331" s="42">
        <f>IF(OR(NOT(ISNUMBER(F331)),N(E331)&lt;=1),"",ROUND(F331/E331,3))</f>
        <v/>
      </c>
      <c r="H331" s="43">
        <f>IF($J331="","",IF(INDEX(Tarifa!$H$13:$H$512,$J331)="","",INDEX(Tarifa!$H$13:$H$512,$J331)))</f>
        <v/>
      </c>
      <c r="I331" s="41">
        <f>IF(OR($M$3="No",$M$3="",NOT(ISNUMBER(F331))),"",IF(NOT(ISNUMBER(H331)),"Falta IVA",ROUND(F331*(1+(H331+IF($M$3="Con IVA y recargo",IF(H331=21,5.2,IF(H331=10,1.4,IF(H331=4,0.5,0))),0))/100),2)))</f>
        <v/>
      </c>
      <c r="J331">
        <f>IFERROR(MATCH(321,Tarifa!$O$13:$O$512,0),"")</f>
        <v/>
      </c>
    </row>
    <row r="332" ht="17" customHeight="1">
      <c r="A332" s="38">
        <f>IF($J332="","",IFERROR(IF(INDEX(Tarifa!$E$13:$E$512,$J332)&amp;""=INDEX(Tarifa!$E$13:$E$512,$J331)&amp;"","",INDEX(Tarifa!$E$13:$E$512,$J332)&amp;""),""))</f>
        <v/>
      </c>
      <c r="B332" s="39">
        <f>IF($J332="","",INDEX(Tarifa!$A$13:$A$512,$J332)&amp;"")</f>
        <v/>
      </c>
      <c r="C332" s="39">
        <f>IF($J332="","",INDEX(Tarifa!$B$13:$B$512,$J332)&amp;"")</f>
        <v/>
      </c>
      <c r="D332" s="39">
        <f>IF($J332="","",INDEX(Tarifa!$C$13:$C$512,$J332)&amp;"")</f>
        <v/>
      </c>
      <c r="E332" s="40">
        <f>IF($J332="","",IF(INDEX(Tarifa!$D$13:$D$512,$J332)="","",INDEX(Tarifa!$D$13:$D$512,$J332)))</f>
        <v/>
      </c>
      <c r="F332" s="41">
        <f>IF(OR($J332="",$J$1=""),"",IF(INDEX(Tarifa!$G$13:$G$512,$J332)="","",IF(NOT(ISNUMBER(INDEX(Tarifa!$G$13:$G$512,$J332))),"Revisa",IF($J$1=1,INDEX(Tarifa!$G$13:$G$512,$J332),ROUND(ROUND(INDEX(Tarifa!$G$13:$G$512,$J332)*(1+$J$2/100)/$J$3,0)*$J$3,2)))))</f>
        <v/>
      </c>
      <c r="G332" s="42">
        <f>IF(OR(NOT(ISNUMBER(F332)),N(E332)&lt;=1),"",ROUND(F332/E332,3))</f>
        <v/>
      </c>
      <c r="H332" s="43">
        <f>IF($J332="","",IF(INDEX(Tarifa!$H$13:$H$512,$J332)="","",INDEX(Tarifa!$H$13:$H$512,$J332)))</f>
        <v/>
      </c>
      <c r="I332" s="41">
        <f>IF(OR($M$3="No",$M$3="",NOT(ISNUMBER(F332))),"",IF(NOT(ISNUMBER(H332)),"Falta IVA",ROUND(F332*(1+(H332+IF($M$3="Con IVA y recargo",IF(H332=21,5.2,IF(H332=10,1.4,IF(H332=4,0.5,0))),0))/100),2)))</f>
        <v/>
      </c>
      <c r="J332">
        <f>IFERROR(MATCH(322,Tarifa!$O$13:$O$512,0),"")</f>
        <v/>
      </c>
    </row>
    <row r="333" ht="17" customHeight="1">
      <c r="A333" s="38">
        <f>IF($J333="","",IFERROR(IF(INDEX(Tarifa!$E$13:$E$512,$J333)&amp;""=INDEX(Tarifa!$E$13:$E$512,$J332)&amp;"","",INDEX(Tarifa!$E$13:$E$512,$J333)&amp;""),""))</f>
        <v/>
      </c>
      <c r="B333" s="39">
        <f>IF($J333="","",INDEX(Tarifa!$A$13:$A$512,$J333)&amp;"")</f>
        <v/>
      </c>
      <c r="C333" s="39">
        <f>IF($J333="","",INDEX(Tarifa!$B$13:$B$512,$J333)&amp;"")</f>
        <v/>
      </c>
      <c r="D333" s="39">
        <f>IF($J333="","",INDEX(Tarifa!$C$13:$C$512,$J333)&amp;"")</f>
        <v/>
      </c>
      <c r="E333" s="40">
        <f>IF($J333="","",IF(INDEX(Tarifa!$D$13:$D$512,$J333)="","",INDEX(Tarifa!$D$13:$D$512,$J333)))</f>
        <v/>
      </c>
      <c r="F333" s="41">
        <f>IF(OR($J333="",$J$1=""),"",IF(INDEX(Tarifa!$G$13:$G$512,$J333)="","",IF(NOT(ISNUMBER(INDEX(Tarifa!$G$13:$G$512,$J333))),"Revisa",IF($J$1=1,INDEX(Tarifa!$G$13:$G$512,$J333),ROUND(ROUND(INDEX(Tarifa!$G$13:$G$512,$J333)*(1+$J$2/100)/$J$3,0)*$J$3,2)))))</f>
        <v/>
      </c>
      <c r="G333" s="42">
        <f>IF(OR(NOT(ISNUMBER(F333)),N(E333)&lt;=1),"",ROUND(F333/E333,3))</f>
        <v/>
      </c>
      <c r="H333" s="43">
        <f>IF($J333="","",IF(INDEX(Tarifa!$H$13:$H$512,$J333)="","",INDEX(Tarifa!$H$13:$H$512,$J333)))</f>
        <v/>
      </c>
      <c r="I333" s="41">
        <f>IF(OR($M$3="No",$M$3="",NOT(ISNUMBER(F333))),"",IF(NOT(ISNUMBER(H333)),"Falta IVA",ROUND(F333*(1+(H333+IF($M$3="Con IVA y recargo",IF(H333=21,5.2,IF(H333=10,1.4,IF(H333=4,0.5,0))),0))/100),2)))</f>
        <v/>
      </c>
      <c r="J333">
        <f>IFERROR(MATCH(323,Tarifa!$O$13:$O$512,0),"")</f>
        <v/>
      </c>
    </row>
    <row r="334" ht="17" customHeight="1">
      <c r="A334" s="38">
        <f>IF($J334="","",IFERROR(IF(INDEX(Tarifa!$E$13:$E$512,$J334)&amp;""=INDEX(Tarifa!$E$13:$E$512,$J333)&amp;"","",INDEX(Tarifa!$E$13:$E$512,$J334)&amp;""),""))</f>
        <v/>
      </c>
      <c r="B334" s="39">
        <f>IF($J334="","",INDEX(Tarifa!$A$13:$A$512,$J334)&amp;"")</f>
        <v/>
      </c>
      <c r="C334" s="39">
        <f>IF($J334="","",INDEX(Tarifa!$B$13:$B$512,$J334)&amp;"")</f>
        <v/>
      </c>
      <c r="D334" s="39">
        <f>IF($J334="","",INDEX(Tarifa!$C$13:$C$512,$J334)&amp;"")</f>
        <v/>
      </c>
      <c r="E334" s="40">
        <f>IF($J334="","",IF(INDEX(Tarifa!$D$13:$D$512,$J334)="","",INDEX(Tarifa!$D$13:$D$512,$J334)))</f>
        <v/>
      </c>
      <c r="F334" s="41">
        <f>IF(OR($J334="",$J$1=""),"",IF(INDEX(Tarifa!$G$13:$G$512,$J334)="","",IF(NOT(ISNUMBER(INDEX(Tarifa!$G$13:$G$512,$J334))),"Revisa",IF($J$1=1,INDEX(Tarifa!$G$13:$G$512,$J334),ROUND(ROUND(INDEX(Tarifa!$G$13:$G$512,$J334)*(1+$J$2/100)/$J$3,0)*$J$3,2)))))</f>
        <v/>
      </c>
      <c r="G334" s="42">
        <f>IF(OR(NOT(ISNUMBER(F334)),N(E334)&lt;=1),"",ROUND(F334/E334,3))</f>
        <v/>
      </c>
      <c r="H334" s="43">
        <f>IF($J334="","",IF(INDEX(Tarifa!$H$13:$H$512,$J334)="","",INDEX(Tarifa!$H$13:$H$512,$J334)))</f>
        <v/>
      </c>
      <c r="I334" s="41">
        <f>IF(OR($M$3="No",$M$3="",NOT(ISNUMBER(F334))),"",IF(NOT(ISNUMBER(H334)),"Falta IVA",ROUND(F334*(1+(H334+IF($M$3="Con IVA y recargo",IF(H334=21,5.2,IF(H334=10,1.4,IF(H334=4,0.5,0))),0))/100),2)))</f>
        <v/>
      </c>
      <c r="J334">
        <f>IFERROR(MATCH(324,Tarifa!$O$13:$O$512,0),"")</f>
        <v/>
      </c>
    </row>
    <row r="335" ht="17" customHeight="1">
      <c r="A335" s="38">
        <f>IF($J335="","",IFERROR(IF(INDEX(Tarifa!$E$13:$E$512,$J335)&amp;""=INDEX(Tarifa!$E$13:$E$512,$J334)&amp;"","",INDEX(Tarifa!$E$13:$E$512,$J335)&amp;""),""))</f>
        <v/>
      </c>
      <c r="B335" s="39">
        <f>IF($J335="","",INDEX(Tarifa!$A$13:$A$512,$J335)&amp;"")</f>
        <v/>
      </c>
      <c r="C335" s="39">
        <f>IF($J335="","",INDEX(Tarifa!$B$13:$B$512,$J335)&amp;"")</f>
        <v/>
      </c>
      <c r="D335" s="39">
        <f>IF($J335="","",INDEX(Tarifa!$C$13:$C$512,$J335)&amp;"")</f>
        <v/>
      </c>
      <c r="E335" s="40">
        <f>IF($J335="","",IF(INDEX(Tarifa!$D$13:$D$512,$J335)="","",INDEX(Tarifa!$D$13:$D$512,$J335)))</f>
        <v/>
      </c>
      <c r="F335" s="41">
        <f>IF(OR($J335="",$J$1=""),"",IF(INDEX(Tarifa!$G$13:$G$512,$J335)="","",IF(NOT(ISNUMBER(INDEX(Tarifa!$G$13:$G$512,$J335))),"Revisa",IF($J$1=1,INDEX(Tarifa!$G$13:$G$512,$J335),ROUND(ROUND(INDEX(Tarifa!$G$13:$G$512,$J335)*(1+$J$2/100)/$J$3,0)*$J$3,2)))))</f>
        <v/>
      </c>
      <c r="G335" s="42">
        <f>IF(OR(NOT(ISNUMBER(F335)),N(E335)&lt;=1),"",ROUND(F335/E335,3))</f>
        <v/>
      </c>
      <c r="H335" s="43">
        <f>IF($J335="","",IF(INDEX(Tarifa!$H$13:$H$512,$J335)="","",INDEX(Tarifa!$H$13:$H$512,$J335)))</f>
        <v/>
      </c>
      <c r="I335" s="41">
        <f>IF(OR($M$3="No",$M$3="",NOT(ISNUMBER(F335))),"",IF(NOT(ISNUMBER(H335)),"Falta IVA",ROUND(F335*(1+(H335+IF($M$3="Con IVA y recargo",IF(H335=21,5.2,IF(H335=10,1.4,IF(H335=4,0.5,0))),0))/100),2)))</f>
        <v/>
      </c>
      <c r="J335">
        <f>IFERROR(MATCH(325,Tarifa!$O$13:$O$512,0),"")</f>
        <v/>
      </c>
    </row>
    <row r="336" ht="17" customHeight="1">
      <c r="A336" s="38">
        <f>IF($J336="","",IFERROR(IF(INDEX(Tarifa!$E$13:$E$512,$J336)&amp;""=INDEX(Tarifa!$E$13:$E$512,$J335)&amp;"","",INDEX(Tarifa!$E$13:$E$512,$J336)&amp;""),""))</f>
        <v/>
      </c>
      <c r="B336" s="39">
        <f>IF($J336="","",INDEX(Tarifa!$A$13:$A$512,$J336)&amp;"")</f>
        <v/>
      </c>
      <c r="C336" s="39">
        <f>IF($J336="","",INDEX(Tarifa!$B$13:$B$512,$J336)&amp;"")</f>
        <v/>
      </c>
      <c r="D336" s="39">
        <f>IF($J336="","",INDEX(Tarifa!$C$13:$C$512,$J336)&amp;"")</f>
        <v/>
      </c>
      <c r="E336" s="40">
        <f>IF($J336="","",IF(INDEX(Tarifa!$D$13:$D$512,$J336)="","",INDEX(Tarifa!$D$13:$D$512,$J336)))</f>
        <v/>
      </c>
      <c r="F336" s="41">
        <f>IF(OR($J336="",$J$1=""),"",IF(INDEX(Tarifa!$G$13:$G$512,$J336)="","",IF(NOT(ISNUMBER(INDEX(Tarifa!$G$13:$G$512,$J336))),"Revisa",IF($J$1=1,INDEX(Tarifa!$G$13:$G$512,$J336),ROUND(ROUND(INDEX(Tarifa!$G$13:$G$512,$J336)*(1+$J$2/100)/$J$3,0)*$J$3,2)))))</f>
        <v/>
      </c>
      <c r="G336" s="42">
        <f>IF(OR(NOT(ISNUMBER(F336)),N(E336)&lt;=1),"",ROUND(F336/E336,3))</f>
        <v/>
      </c>
      <c r="H336" s="43">
        <f>IF($J336="","",IF(INDEX(Tarifa!$H$13:$H$512,$J336)="","",INDEX(Tarifa!$H$13:$H$512,$J336)))</f>
        <v/>
      </c>
      <c r="I336" s="41">
        <f>IF(OR($M$3="No",$M$3="",NOT(ISNUMBER(F336))),"",IF(NOT(ISNUMBER(H336)),"Falta IVA",ROUND(F336*(1+(H336+IF($M$3="Con IVA y recargo",IF(H336=21,5.2,IF(H336=10,1.4,IF(H336=4,0.5,0))),0))/100),2)))</f>
        <v/>
      </c>
      <c r="J336">
        <f>IFERROR(MATCH(326,Tarifa!$O$13:$O$512,0),"")</f>
        <v/>
      </c>
    </row>
    <row r="337" ht="17" customHeight="1">
      <c r="A337" s="38">
        <f>IF($J337="","",IFERROR(IF(INDEX(Tarifa!$E$13:$E$512,$J337)&amp;""=INDEX(Tarifa!$E$13:$E$512,$J336)&amp;"","",INDEX(Tarifa!$E$13:$E$512,$J337)&amp;""),""))</f>
        <v/>
      </c>
      <c r="B337" s="39">
        <f>IF($J337="","",INDEX(Tarifa!$A$13:$A$512,$J337)&amp;"")</f>
        <v/>
      </c>
      <c r="C337" s="39">
        <f>IF($J337="","",INDEX(Tarifa!$B$13:$B$512,$J337)&amp;"")</f>
        <v/>
      </c>
      <c r="D337" s="39">
        <f>IF($J337="","",INDEX(Tarifa!$C$13:$C$512,$J337)&amp;"")</f>
        <v/>
      </c>
      <c r="E337" s="40">
        <f>IF($J337="","",IF(INDEX(Tarifa!$D$13:$D$512,$J337)="","",INDEX(Tarifa!$D$13:$D$512,$J337)))</f>
        <v/>
      </c>
      <c r="F337" s="41">
        <f>IF(OR($J337="",$J$1=""),"",IF(INDEX(Tarifa!$G$13:$G$512,$J337)="","",IF(NOT(ISNUMBER(INDEX(Tarifa!$G$13:$G$512,$J337))),"Revisa",IF($J$1=1,INDEX(Tarifa!$G$13:$G$512,$J337),ROUND(ROUND(INDEX(Tarifa!$G$13:$G$512,$J337)*(1+$J$2/100)/$J$3,0)*$J$3,2)))))</f>
        <v/>
      </c>
      <c r="G337" s="42">
        <f>IF(OR(NOT(ISNUMBER(F337)),N(E337)&lt;=1),"",ROUND(F337/E337,3))</f>
        <v/>
      </c>
      <c r="H337" s="43">
        <f>IF($J337="","",IF(INDEX(Tarifa!$H$13:$H$512,$J337)="","",INDEX(Tarifa!$H$13:$H$512,$J337)))</f>
        <v/>
      </c>
      <c r="I337" s="41">
        <f>IF(OR($M$3="No",$M$3="",NOT(ISNUMBER(F337))),"",IF(NOT(ISNUMBER(H337)),"Falta IVA",ROUND(F337*(1+(H337+IF($M$3="Con IVA y recargo",IF(H337=21,5.2,IF(H337=10,1.4,IF(H337=4,0.5,0))),0))/100),2)))</f>
        <v/>
      </c>
      <c r="J337">
        <f>IFERROR(MATCH(327,Tarifa!$O$13:$O$512,0),"")</f>
        <v/>
      </c>
    </row>
    <row r="338" ht="17" customHeight="1">
      <c r="A338" s="38">
        <f>IF($J338="","",IFERROR(IF(INDEX(Tarifa!$E$13:$E$512,$J338)&amp;""=INDEX(Tarifa!$E$13:$E$512,$J337)&amp;"","",INDEX(Tarifa!$E$13:$E$512,$J338)&amp;""),""))</f>
        <v/>
      </c>
      <c r="B338" s="39">
        <f>IF($J338="","",INDEX(Tarifa!$A$13:$A$512,$J338)&amp;"")</f>
        <v/>
      </c>
      <c r="C338" s="39">
        <f>IF($J338="","",INDEX(Tarifa!$B$13:$B$512,$J338)&amp;"")</f>
        <v/>
      </c>
      <c r="D338" s="39">
        <f>IF($J338="","",INDEX(Tarifa!$C$13:$C$512,$J338)&amp;"")</f>
        <v/>
      </c>
      <c r="E338" s="40">
        <f>IF($J338="","",IF(INDEX(Tarifa!$D$13:$D$512,$J338)="","",INDEX(Tarifa!$D$13:$D$512,$J338)))</f>
        <v/>
      </c>
      <c r="F338" s="41">
        <f>IF(OR($J338="",$J$1=""),"",IF(INDEX(Tarifa!$G$13:$G$512,$J338)="","",IF(NOT(ISNUMBER(INDEX(Tarifa!$G$13:$G$512,$J338))),"Revisa",IF($J$1=1,INDEX(Tarifa!$G$13:$G$512,$J338),ROUND(ROUND(INDEX(Tarifa!$G$13:$G$512,$J338)*(1+$J$2/100)/$J$3,0)*$J$3,2)))))</f>
        <v/>
      </c>
      <c r="G338" s="42">
        <f>IF(OR(NOT(ISNUMBER(F338)),N(E338)&lt;=1),"",ROUND(F338/E338,3))</f>
        <v/>
      </c>
      <c r="H338" s="43">
        <f>IF($J338="","",IF(INDEX(Tarifa!$H$13:$H$512,$J338)="","",INDEX(Tarifa!$H$13:$H$512,$J338)))</f>
        <v/>
      </c>
      <c r="I338" s="41">
        <f>IF(OR($M$3="No",$M$3="",NOT(ISNUMBER(F338))),"",IF(NOT(ISNUMBER(H338)),"Falta IVA",ROUND(F338*(1+(H338+IF($M$3="Con IVA y recargo",IF(H338=21,5.2,IF(H338=10,1.4,IF(H338=4,0.5,0))),0))/100),2)))</f>
        <v/>
      </c>
      <c r="J338">
        <f>IFERROR(MATCH(328,Tarifa!$O$13:$O$512,0),"")</f>
        <v/>
      </c>
    </row>
    <row r="339" ht="17" customHeight="1">
      <c r="A339" s="38">
        <f>IF($J339="","",IFERROR(IF(INDEX(Tarifa!$E$13:$E$512,$J339)&amp;""=INDEX(Tarifa!$E$13:$E$512,$J338)&amp;"","",INDEX(Tarifa!$E$13:$E$512,$J339)&amp;""),""))</f>
        <v/>
      </c>
      <c r="B339" s="39">
        <f>IF($J339="","",INDEX(Tarifa!$A$13:$A$512,$J339)&amp;"")</f>
        <v/>
      </c>
      <c r="C339" s="39">
        <f>IF($J339="","",INDEX(Tarifa!$B$13:$B$512,$J339)&amp;"")</f>
        <v/>
      </c>
      <c r="D339" s="39">
        <f>IF($J339="","",INDEX(Tarifa!$C$13:$C$512,$J339)&amp;"")</f>
        <v/>
      </c>
      <c r="E339" s="40">
        <f>IF($J339="","",IF(INDEX(Tarifa!$D$13:$D$512,$J339)="","",INDEX(Tarifa!$D$13:$D$512,$J339)))</f>
        <v/>
      </c>
      <c r="F339" s="41">
        <f>IF(OR($J339="",$J$1=""),"",IF(INDEX(Tarifa!$G$13:$G$512,$J339)="","",IF(NOT(ISNUMBER(INDEX(Tarifa!$G$13:$G$512,$J339))),"Revisa",IF($J$1=1,INDEX(Tarifa!$G$13:$G$512,$J339),ROUND(ROUND(INDEX(Tarifa!$G$13:$G$512,$J339)*(1+$J$2/100)/$J$3,0)*$J$3,2)))))</f>
        <v/>
      </c>
      <c r="G339" s="42">
        <f>IF(OR(NOT(ISNUMBER(F339)),N(E339)&lt;=1),"",ROUND(F339/E339,3))</f>
        <v/>
      </c>
      <c r="H339" s="43">
        <f>IF($J339="","",IF(INDEX(Tarifa!$H$13:$H$512,$J339)="","",INDEX(Tarifa!$H$13:$H$512,$J339)))</f>
        <v/>
      </c>
      <c r="I339" s="41">
        <f>IF(OR($M$3="No",$M$3="",NOT(ISNUMBER(F339))),"",IF(NOT(ISNUMBER(H339)),"Falta IVA",ROUND(F339*(1+(H339+IF($M$3="Con IVA y recargo",IF(H339=21,5.2,IF(H339=10,1.4,IF(H339=4,0.5,0))),0))/100),2)))</f>
        <v/>
      </c>
      <c r="J339">
        <f>IFERROR(MATCH(329,Tarifa!$O$13:$O$512,0),"")</f>
        <v/>
      </c>
    </row>
    <row r="340" ht="17" customHeight="1">
      <c r="A340" s="38">
        <f>IF($J340="","",IFERROR(IF(INDEX(Tarifa!$E$13:$E$512,$J340)&amp;""=INDEX(Tarifa!$E$13:$E$512,$J339)&amp;"","",INDEX(Tarifa!$E$13:$E$512,$J340)&amp;""),""))</f>
        <v/>
      </c>
      <c r="B340" s="39">
        <f>IF($J340="","",INDEX(Tarifa!$A$13:$A$512,$J340)&amp;"")</f>
        <v/>
      </c>
      <c r="C340" s="39">
        <f>IF($J340="","",INDEX(Tarifa!$B$13:$B$512,$J340)&amp;"")</f>
        <v/>
      </c>
      <c r="D340" s="39">
        <f>IF($J340="","",INDEX(Tarifa!$C$13:$C$512,$J340)&amp;"")</f>
        <v/>
      </c>
      <c r="E340" s="40">
        <f>IF($J340="","",IF(INDEX(Tarifa!$D$13:$D$512,$J340)="","",INDEX(Tarifa!$D$13:$D$512,$J340)))</f>
        <v/>
      </c>
      <c r="F340" s="41">
        <f>IF(OR($J340="",$J$1=""),"",IF(INDEX(Tarifa!$G$13:$G$512,$J340)="","",IF(NOT(ISNUMBER(INDEX(Tarifa!$G$13:$G$512,$J340))),"Revisa",IF($J$1=1,INDEX(Tarifa!$G$13:$G$512,$J340),ROUND(ROUND(INDEX(Tarifa!$G$13:$G$512,$J340)*(1+$J$2/100)/$J$3,0)*$J$3,2)))))</f>
        <v/>
      </c>
      <c r="G340" s="42">
        <f>IF(OR(NOT(ISNUMBER(F340)),N(E340)&lt;=1),"",ROUND(F340/E340,3))</f>
        <v/>
      </c>
      <c r="H340" s="43">
        <f>IF($J340="","",IF(INDEX(Tarifa!$H$13:$H$512,$J340)="","",INDEX(Tarifa!$H$13:$H$512,$J340)))</f>
        <v/>
      </c>
      <c r="I340" s="41">
        <f>IF(OR($M$3="No",$M$3="",NOT(ISNUMBER(F340))),"",IF(NOT(ISNUMBER(H340)),"Falta IVA",ROUND(F340*(1+(H340+IF($M$3="Con IVA y recargo",IF(H340=21,5.2,IF(H340=10,1.4,IF(H340=4,0.5,0))),0))/100),2)))</f>
        <v/>
      </c>
      <c r="J340">
        <f>IFERROR(MATCH(330,Tarifa!$O$13:$O$512,0),"")</f>
        <v/>
      </c>
    </row>
    <row r="341" ht="17" customHeight="1">
      <c r="A341" s="38">
        <f>IF($J341="","",IFERROR(IF(INDEX(Tarifa!$E$13:$E$512,$J341)&amp;""=INDEX(Tarifa!$E$13:$E$512,$J340)&amp;"","",INDEX(Tarifa!$E$13:$E$512,$J341)&amp;""),""))</f>
        <v/>
      </c>
      <c r="B341" s="39">
        <f>IF($J341="","",INDEX(Tarifa!$A$13:$A$512,$J341)&amp;"")</f>
        <v/>
      </c>
      <c r="C341" s="39">
        <f>IF($J341="","",INDEX(Tarifa!$B$13:$B$512,$J341)&amp;"")</f>
        <v/>
      </c>
      <c r="D341" s="39">
        <f>IF($J341="","",INDEX(Tarifa!$C$13:$C$512,$J341)&amp;"")</f>
        <v/>
      </c>
      <c r="E341" s="40">
        <f>IF($J341="","",IF(INDEX(Tarifa!$D$13:$D$512,$J341)="","",INDEX(Tarifa!$D$13:$D$512,$J341)))</f>
        <v/>
      </c>
      <c r="F341" s="41">
        <f>IF(OR($J341="",$J$1=""),"",IF(INDEX(Tarifa!$G$13:$G$512,$J341)="","",IF(NOT(ISNUMBER(INDEX(Tarifa!$G$13:$G$512,$J341))),"Revisa",IF($J$1=1,INDEX(Tarifa!$G$13:$G$512,$J341),ROUND(ROUND(INDEX(Tarifa!$G$13:$G$512,$J341)*(1+$J$2/100)/$J$3,0)*$J$3,2)))))</f>
        <v/>
      </c>
      <c r="G341" s="42">
        <f>IF(OR(NOT(ISNUMBER(F341)),N(E341)&lt;=1),"",ROUND(F341/E341,3))</f>
        <v/>
      </c>
      <c r="H341" s="43">
        <f>IF($J341="","",IF(INDEX(Tarifa!$H$13:$H$512,$J341)="","",INDEX(Tarifa!$H$13:$H$512,$J341)))</f>
        <v/>
      </c>
      <c r="I341" s="41">
        <f>IF(OR($M$3="No",$M$3="",NOT(ISNUMBER(F341))),"",IF(NOT(ISNUMBER(H341)),"Falta IVA",ROUND(F341*(1+(H341+IF($M$3="Con IVA y recargo",IF(H341=21,5.2,IF(H341=10,1.4,IF(H341=4,0.5,0))),0))/100),2)))</f>
        <v/>
      </c>
      <c r="J341">
        <f>IFERROR(MATCH(331,Tarifa!$O$13:$O$512,0),"")</f>
        <v/>
      </c>
    </row>
    <row r="342" ht="17" customHeight="1">
      <c r="A342" s="38">
        <f>IF($J342="","",IFERROR(IF(INDEX(Tarifa!$E$13:$E$512,$J342)&amp;""=INDEX(Tarifa!$E$13:$E$512,$J341)&amp;"","",INDEX(Tarifa!$E$13:$E$512,$J342)&amp;""),""))</f>
        <v/>
      </c>
      <c r="B342" s="39">
        <f>IF($J342="","",INDEX(Tarifa!$A$13:$A$512,$J342)&amp;"")</f>
        <v/>
      </c>
      <c r="C342" s="39">
        <f>IF($J342="","",INDEX(Tarifa!$B$13:$B$512,$J342)&amp;"")</f>
        <v/>
      </c>
      <c r="D342" s="39">
        <f>IF($J342="","",INDEX(Tarifa!$C$13:$C$512,$J342)&amp;"")</f>
        <v/>
      </c>
      <c r="E342" s="40">
        <f>IF($J342="","",IF(INDEX(Tarifa!$D$13:$D$512,$J342)="","",INDEX(Tarifa!$D$13:$D$512,$J342)))</f>
        <v/>
      </c>
      <c r="F342" s="41">
        <f>IF(OR($J342="",$J$1=""),"",IF(INDEX(Tarifa!$G$13:$G$512,$J342)="","",IF(NOT(ISNUMBER(INDEX(Tarifa!$G$13:$G$512,$J342))),"Revisa",IF($J$1=1,INDEX(Tarifa!$G$13:$G$512,$J342),ROUND(ROUND(INDEX(Tarifa!$G$13:$G$512,$J342)*(1+$J$2/100)/$J$3,0)*$J$3,2)))))</f>
        <v/>
      </c>
      <c r="G342" s="42">
        <f>IF(OR(NOT(ISNUMBER(F342)),N(E342)&lt;=1),"",ROUND(F342/E342,3))</f>
        <v/>
      </c>
      <c r="H342" s="43">
        <f>IF($J342="","",IF(INDEX(Tarifa!$H$13:$H$512,$J342)="","",INDEX(Tarifa!$H$13:$H$512,$J342)))</f>
        <v/>
      </c>
      <c r="I342" s="41">
        <f>IF(OR($M$3="No",$M$3="",NOT(ISNUMBER(F342))),"",IF(NOT(ISNUMBER(H342)),"Falta IVA",ROUND(F342*(1+(H342+IF($M$3="Con IVA y recargo",IF(H342=21,5.2,IF(H342=10,1.4,IF(H342=4,0.5,0))),0))/100),2)))</f>
        <v/>
      </c>
      <c r="J342">
        <f>IFERROR(MATCH(332,Tarifa!$O$13:$O$512,0),"")</f>
        <v/>
      </c>
    </row>
    <row r="343" ht="17" customHeight="1">
      <c r="A343" s="38">
        <f>IF($J343="","",IFERROR(IF(INDEX(Tarifa!$E$13:$E$512,$J343)&amp;""=INDEX(Tarifa!$E$13:$E$512,$J342)&amp;"","",INDEX(Tarifa!$E$13:$E$512,$J343)&amp;""),""))</f>
        <v/>
      </c>
      <c r="B343" s="39">
        <f>IF($J343="","",INDEX(Tarifa!$A$13:$A$512,$J343)&amp;"")</f>
        <v/>
      </c>
      <c r="C343" s="39">
        <f>IF($J343="","",INDEX(Tarifa!$B$13:$B$512,$J343)&amp;"")</f>
        <v/>
      </c>
      <c r="D343" s="39">
        <f>IF($J343="","",INDEX(Tarifa!$C$13:$C$512,$J343)&amp;"")</f>
        <v/>
      </c>
      <c r="E343" s="40">
        <f>IF($J343="","",IF(INDEX(Tarifa!$D$13:$D$512,$J343)="","",INDEX(Tarifa!$D$13:$D$512,$J343)))</f>
        <v/>
      </c>
      <c r="F343" s="41">
        <f>IF(OR($J343="",$J$1=""),"",IF(INDEX(Tarifa!$G$13:$G$512,$J343)="","",IF(NOT(ISNUMBER(INDEX(Tarifa!$G$13:$G$512,$J343))),"Revisa",IF($J$1=1,INDEX(Tarifa!$G$13:$G$512,$J343),ROUND(ROUND(INDEX(Tarifa!$G$13:$G$512,$J343)*(1+$J$2/100)/$J$3,0)*$J$3,2)))))</f>
        <v/>
      </c>
      <c r="G343" s="42">
        <f>IF(OR(NOT(ISNUMBER(F343)),N(E343)&lt;=1),"",ROUND(F343/E343,3))</f>
        <v/>
      </c>
      <c r="H343" s="43">
        <f>IF($J343="","",IF(INDEX(Tarifa!$H$13:$H$512,$J343)="","",INDEX(Tarifa!$H$13:$H$512,$J343)))</f>
        <v/>
      </c>
      <c r="I343" s="41">
        <f>IF(OR($M$3="No",$M$3="",NOT(ISNUMBER(F343))),"",IF(NOT(ISNUMBER(H343)),"Falta IVA",ROUND(F343*(1+(H343+IF($M$3="Con IVA y recargo",IF(H343=21,5.2,IF(H343=10,1.4,IF(H343=4,0.5,0))),0))/100),2)))</f>
        <v/>
      </c>
      <c r="J343">
        <f>IFERROR(MATCH(333,Tarifa!$O$13:$O$512,0),"")</f>
        <v/>
      </c>
    </row>
    <row r="344" ht="17" customHeight="1">
      <c r="A344" s="38">
        <f>IF($J344="","",IFERROR(IF(INDEX(Tarifa!$E$13:$E$512,$J344)&amp;""=INDEX(Tarifa!$E$13:$E$512,$J343)&amp;"","",INDEX(Tarifa!$E$13:$E$512,$J344)&amp;""),""))</f>
        <v/>
      </c>
      <c r="B344" s="39">
        <f>IF($J344="","",INDEX(Tarifa!$A$13:$A$512,$J344)&amp;"")</f>
        <v/>
      </c>
      <c r="C344" s="39">
        <f>IF($J344="","",INDEX(Tarifa!$B$13:$B$512,$J344)&amp;"")</f>
        <v/>
      </c>
      <c r="D344" s="39">
        <f>IF($J344="","",INDEX(Tarifa!$C$13:$C$512,$J344)&amp;"")</f>
        <v/>
      </c>
      <c r="E344" s="40">
        <f>IF($J344="","",IF(INDEX(Tarifa!$D$13:$D$512,$J344)="","",INDEX(Tarifa!$D$13:$D$512,$J344)))</f>
        <v/>
      </c>
      <c r="F344" s="41">
        <f>IF(OR($J344="",$J$1=""),"",IF(INDEX(Tarifa!$G$13:$G$512,$J344)="","",IF(NOT(ISNUMBER(INDEX(Tarifa!$G$13:$G$512,$J344))),"Revisa",IF($J$1=1,INDEX(Tarifa!$G$13:$G$512,$J344),ROUND(ROUND(INDEX(Tarifa!$G$13:$G$512,$J344)*(1+$J$2/100)/$J$3,0)*$J$3,2)))))</f>
        <v/>
      </c>
      <c r="G344" s="42">
        <f>IF(OR(NOT(ISNUMBER(F344)),N(E344)&lt;=1),"",ROUND(F344/E344,3))</f>
        <v/>
      </c>
      <c r="H344" s="43">
        <f>IF($J344="","",IF(INDEX(Tarifa!$H$13:$H$512,$J344)="","",INDEX(Tarifa!$H$13:$H$512,$J344)))</f>
        <v/>
      </c>
      <c r="I344" s="41">
        <f>IF(OR($M$3="No",$M$3="",NOT(ISNUMBER(F344))),"",IF(NOT(ISNUMBER(H344)),"Falta IVA",ROUND(F344*(1+(H344+IF($M$3="Con IVA y recargo",IF(H344=21,5.2,IF(H344=10,1.4,IF(H344=4,0.5,0))),0))/100),2)))</f>
        <v/>
      </c>
      <c r="J344">
        <f>IFERROR(MATCH(334,Tarifa!$O$13:$O$512,0),"")</f>
        <v/>
      </c>
    </row>
    <row r="345" ht="17" customHeight="1">
      <c r="A345" s="38">
        <f>IF($J345="","",IFERROR(IF(INDEX(Tarifa!$E$13:$E$512,$J345)&amp;""=INDEX(Tarifa!$E$13:$E$512,$J344)&amp;"","",INDEX(Tarifa!$E$13:$E$512,$J345)&amp;""),""))</f>
        <v/>
      </c>
      <c r="B345" s="39">
        <f>IF($J345="","",INDEX(Tarifa!$A$13:$A$512,$J345)&amp;"")</f>
        <v/>
      </c>
      <c r="C345" s="39">
        <f>IF($J345="","",INDEX(Tarifa!$B$13:$B$512,$J345)&amp;"")</f>
        <v/>
      </c>
      <c r="D345" s="39">
        <f>IF($J345="","",INDEX(Tarifa!$C$13:$C$512,$J345)&amp;"")</f>
        <v/>
      </c>
      <c r="E345" s="40">
        <f>IF($J345="","",IF(INDEX(Tarifa!$D$13:$D$512,$J345)="","",INDEX(Tarifa!$D$13:$D$512,$J345)))</f>
        <v/>
      </c>
      <c r="F345" s="41">
        <f>IF(OR($J345="",$J$1=""),"",IF(INDEX(Tarifa!$G$13:$G$512,$J345)="","",IF(NOT(ISNUMBER(INDEX(Tarifa!$G$13:$G$512,$J345))),"Revisa",IF($J$1=1,INDEX(Tarifa!$G$13:$G$512,$J345),ROUND(ROUND(INDEX(Tarifa!$G$13:$G$512,$J345)*(1+$J$2/100)/$J$3,0)*$J$3,2)))))</f>
        <v/>
      </c>
      <c r="G345" s="42">
        <f>IF(OR(NOT(ISNUMBER(F345)),N(E345)&lt;=1),"",ROUND(F345/E345,3))</f>
        <v/>
      </c>
      <c r="H345" s="43">
        <f>IF($J345="","",IF(INDEX(Tarifa!$H$13:$H$512,$J345)="","",INDEX(Tarifa!$H$13:$H$512,$J345)))</f>
        <v/>
      </c>
      <c r="I345" s="41">
        <f>IF(OR($M$3="No",$M$3="",NOT(ISNUMBER(F345))),"",IF(NOT(ISNUMBER(H345)),"Falta IVA",ROUND(F345*(1+(H345+IF($M$3="Con IVA y recargo",IF(H345=21,5.2,IF(H345=10,1.4,IF(H345=4,0.5,0))),0))/100),2)))</f>
        <v/>
      </c>
      <c r="J345">
        <f>IFERROR(MATCH(335,Tarifa!$O$13:$O$512,0),"")</f>
        <v/>
      </c>
    </row>
    <row r="346" ht="17" customHeight="1">
      <c r="A346" s="38">
        <f>IF($J346="","",IFERROR(IF(INDEX(Tarifa!$E$13:$E$512,$J346)&amp;""=INDEX(Tarifa!$E$13:$E$512,$J345)&amp;"","",INDEX(Tarifa!$E$13:$E$512,$J346)&amp;""),""))</f>
        <v/>
      </c>
      <c r="B346" s="39">
        <f>IF($J346="","",INDEX(Tarifa!$A$13:$A$512,$J346)&amp;"")</f>
        <v/>
      </c>
      <c r="C346" s="39">
        <f>IF($J346="","",INDEX(Tarifa!$B$13:$B$512,$J346)&amp;"")</f>
        <v/>
      </c>
      <c r="D346" s="39">
        <f>IF($J346="","",INDEX(Tarifa!$C$13:$C$512,$J346)&amp;"")</f>
        <v/>
      </c>
      <c r="E346" s="40">
        <f>IF($J346="","",IF(INDEX(Tarifa!$D$13:$D$512,$J346)="","",INDEX(Tarifa!$D$13:$D$512,$J346)))</f>
        <v/>
      </c>
      <c r="F346" s="41">
        <f>IF(OR($J346="",$J$1=""),"",IF(INDEX(Tarifa!$G$13:$G$512,$J346)="","",IF(NOT(ISNUMBER(INDEX(Tarifa!$G$13:$G$512,$J346))),"Revisa",IF($J$1=1,INDEX(Tarifa!$G$13:$G$512,$J346),ROUND(ROUND(INDEX(Tarifa!$G$13:$G$512,$J346)*(1+$J$2/100)/$J$3,0)*$J$3,2)))))</f>
        <v/>
      </c>
      <c r="G346" s="42">
        <f>IF(OR(NOT(ISNUMBER(F346)),N(E346)&lt;=1),"",ROUND(F346/E346,3))</f>
        <v/>
      </c>
      <c r="H346" s="43">
        <f>IF($J346="","",IF(INDEX(Tarifa!$H$13:$H$512,$J346)="","",INDEX(Tarifa!$H$13:$H$512,$J346)))</f>
        <v/>
      </c>
      <c r="I346" s="41">
        <f>IF(OR($M$3="No",$M$3="",NOT(ISNUMBER(F346))),"",IF(NOT(ISNUMBER(H346)),"Falta IVA",ROUND(F346*(1+(H346+IF($M$3="Con IVA y recargo",IF(H346=21,5.2,IF(H346=10,1.4,IF(H346=4,0.5,0))),0))/100),2)))</f>
        <v/>
      </c>
      <c r="J346">
        <f>IFERROR(MATCH(336,Tarifa!$O$13:$O$512,0),"")</f>
        <v/>
      </c>
    </row>
    <row r="347" ht="17" customHeight="1">
      <c r="A347" s="38">
        <f>IF($J347="","",IFERROR(IF(INDEX(Tarifa!$E$13:$E$512,$J347)&amp;""=INDEX(Tarifa!$E$13:$E$512,$J346)&amp;"","",INDEX(Tarifa!$E$13:$E$512,$J347)&amp;""),""))</f>
        <v/>
      </c>
      <c r="B347" s="39">
        <f>IF($J347="","",INDEX(Tarifa!$A$13:$A$512,$J347)&amp;"")</f>
        <v/>
      </c>
      <c r="C347" s="39">
        <f>IF($J347="","",INDEX(Tarifa!$B$13:$B$512,$J347)&amp;"")</f>
        <v/>
      </c>
      <c r="D347" s="39">
        <f>IF($J347="","",INDEX(Tarifa!$C$13:$C$512,$J347)&amp;"")</f>
        <v/>
      </c>
      <c r="E347" s="40">
        <f>IF($J347="","",IF(INDEX(Tarifa!$D$13:$D$512,$J347)="","",INDEX(Tarifa!$D$13:$D$512,$J347)))</f>
        <v/>
      </c>
      <c r="F347" s="41">
        <f>IF(OR($J347="",$J$1=""),"",IF(INDEX(Tarifa!$G$13:$G$512,$J347)="","",IF(NOT(ISNUMBER(INDEX(Tarifa!$G$13:$G$512,$J347))),"Revisa",IF($J$1=1,INDEX(Tarifa!$G$13:$G$512,$J347),ROUND(ROUND(INDEX(Tarifa!$G$13:$G$512,$J347)*(1+$J$2/100)/$J$3,0)*$J$3,2)))))</f>
        <v/>
      </c>
      <c r="G347" s="42">
        <f>IF(OR(NOT(ISNUMBER(F347)),N(E347)&lt;=1),"",ROUND(F347/E347,3))</f>
        <v/>
      </c>
      <c r="H347" s="43">
        <f>IF($J347="","",IF(INDEX(Tarifa!$H$13:$H$512,$J347)="","",INDEX(Tarifa!$H$13:$H$512,$J347)))</f>
        <v/>
      </c>
      <c r="I347" s="41">
        <f>IF(OR($M$3="No",$M$3="",NOT(ISNUMBER(F347))),"",IF(NOT(ISNUMBER(H347)),"Falta IVA",ROUND(F347*(1+(H347+IF($M$3="Con IVA y recargo",IF(H347=21,5.2,IF(H347=10,1.4,IF(H347=4,0.5,0))),0))/100),2)))</f>
        <v/>
      </c>
      <c r="J347">
        <f>IFERROR(MATCH(337,Tarifa!$O$13:$O$512,0),"")</f>
        <v/>
      </c>
    </row>
    <row r="348" ht="17" customHeight="1">
      <c r="A348" s="38">
        <f>IF($J348="","",IFERROR(IF(INDEX(Tarifa!$E$13:$E$512,$J348)&amp;""=INDEX(Tarifa!$E$13:$E$512,$J347)&amp;"","",INDEX(Tarifa!$E$13:$E$512,$J348)&amp;""),""))</f>
        <v/>
      </c>
      <c r="B348" s="39">
        <f>IF($J348="","",INDEX(Tarifa!$A$13:$A$512,$J348)&amp;"")</f>
        <v/>
      </c>
      <c r="C348" s="39">
        <f>IF($J348="","",INDEX(Tarifa!$B$13:$B$512,$J348)&amp;"")</f>
        <v/>
      </c>
      <c r="D348" s="39">
        <f>IF($J348="","",INDEX(Tarifa!$C$13:$C$512,$J348)&amp;"")</f>
        <v/>
      </c>
      <c r="E348" s="40">
        <f>IF($J348="","",IF(INDEX(Tarifa!$D$13:$D$512,$J348)="","",INDEX(Tarifa!$D$13:$D$512,$J348)))</f>
        <v/>
      </c>
      <c r="F348" s="41">
        <f>IF(OR($J348="",$J$1=""),"",IF(INDEX(Tarifa!$G$13:$G$512,$J348)="","",IF(NOT(ISNUMBER(INDEX(Tarifa!$G$13:$G$512,$J348))),"Revisa",IF($J$1=1,INDEX(Tarifa!$G$13:$G$512,$J348),ROUND(ROUND(INDEX(Tarifa!$G$13:$G$512,$J348)*(1+$J$2/100)/$J$3,0)*$J$3,2)))))</f>
        <v/>
      </c>
      <c r="G348" s="42">
        <f>IF(OR(NOT(ISNUMBER(F348)),N(E348)&lt;=1),"",ROUND(F348/E348,3))</f>
        <v/>
      </c>
      <c r="H348" s="43">
        <f>IF($J348="","",IF(INDEX(Tarifa!$H$13:$H$512,$J348)="","",INDEX(Tarifa!$H$13:$H$512,$J348)))</f>
        <v/>
      </c>
      <c r="I348" s="41">
        <f>IF(OR($M$3="No",$M$3="",NOT(ISNUMBER(F348))),"",IF(NOT(ISNUMBER(H348)),"Falta IVA",ROUND(F348*(1+(H348+IF($M$3="Con IVA y recargo",IF(H348=21,5.2,IF(H348=10,1.4,IF(H348=4,0.5,0))),0))/100),2)))</f>
        <v/>
      </c>
      <c r="J348">
        <f>IFERROR(MATCH(338,Tarifa!$O$13:$O$512,0),"")</f>
        <v/>
      </c>
    </row>
    <row r="349" ht="17" customHeight="1">
      <c r="A349" s="38">
        <f>IF($J349="","",IFERROR(IF(INDEX(Tarifa!$E$13:$E$512,$J349)&amp;""=INDEX(Tarifa!$E$13:$E$512,$J348)&amp;"","",INDEX(Tarifa!$E$13:$E$512,$J349)&amp;""),""))</f>
        <v/>
      </c>
      <c r="B349" s="39">
        <f>IF($J349="","",INDEX(Tarifa!$A$13:$A$512,$J349)&amp;"")</f>
        <v/>
      </c>
      <c r="C349" s="39">
        <f>IF($J349="","",INDEX(Tarifa!$B$13:$B$512,$J349)&amp;"")</f>
        <v/>
      </c>
      <c r="D349" s="39">
        <f>IF($J349="","",INDEX(Tarifa!$C$13:$C$512,$J349)&amp;"")</f>
        <v/>
      </c>
      <c r="E349" s="40">
        <f>IF($J349="","",IF(INDEX(Tarifa!$D$13:$D$512,$J349)="","",INDEX(Tarifa!$D$13:$D$512,$J349)))</f>
        <v/>
      </c>
      <c r="F349" s="41">
        <f>IF(OR($J349="",$J$1=""),"",IF(INDEX(Tarifa!$G$13:$G$512,$J349)="","",IF(NOT(ISNUMBER(INDEX(Tarifa!$G$13:$G$512,$J349))),"Revisa",IF($J$1=1,INDEX(Tarifa!$G$13:$G$512,$J349),ROUND(ROUND(INDEX(Tarifa!$G$13:$G$512,$J349)*(1+$J$2/100)/$J$3,0)*$J$3,2)))))</f>
        <v/>
      </c>
      <c r="G349" s="42">
        <f>IF(OR(NOT(ISNUMBER(F349)),N(E349)&lt;=1),"",ROUND(F349/E349,3))</f>
        <v/>
      </c>
      <c r="H349" s="43">
        <f>IF($J349="","",IF(INDEX(Tarifa!$H$13:$H$512,$J349)="","",INDEX(Tarifa!$H$13:$H$512,$J349)))</f>
        <v/>
      </c>
      <c r="I349" s="41">
        <f>IF(OR($M$3="No",$M$3="",NOT(ISNUMBER(F349))),"",IF(NOT(ISNUMBER(H349)),"Falta IVA",ROUND(F349*(1+(H349+IF($M$3="Con IVA y recargo",IF(H349=21,5.2,IF(H349=10,1.4,IF(H349=4,0.5,0))),0))/100),2)))</f>
        <v/>
      </c>
      <c r="J349">
        <f>IFERROR(MATCH(339,Tarifa!$O$13:$O$512,0),"")</f>
        <v/>
      </c>
    </row>
    <row r="350" ht="17" customHeight="1">
      <c r="A350" s="38">
        <f>IF($J350="","",IFERROR(IF(INDEX(Tarifa!$E$13:$E$512,$J350)&amp;""=INDEX(Tarifa!$E$13:$E$512,$J349)&amp;"","",INDEX(Tarifa!$E$13:$E$512,$J350)&amp;""),""))</f>
        <v/>
      </c>
      <c r="B350" s="39">
        <f>IF($J350="","",INDEX(Tarifa!$A$13:$A$512,$J350)&amp;"")</f>
        <v/>
      </c>
      <c r="C350" s="39">
        <f>IF($J350="","",INDEX(Tarifa!$B$13:$B$512,$J350)&amp;"")</f>
        <v/>
      </c>
      <c r="D350" s="39">
        <f>IF($J350="","",INDEX(Tarifa!$C$13:$C$512,$J350)&amp;"")</f>
        <v/>
      </c>
      <c r="E350" s="40">
        <f>IF($J350="","",IF(INDEX(Tarifa!$D$13:$D$512,$J350)="","",INDEX(Tarifa!$D$13:$D$512,$J350)))</f>
        <v/>
      </c>
      <c r="F350" s="41">
        <f>IF(OR($J350="",$J$1=""),"",IF(INDEX(Tarifa!$G$13:$G$512,$J350)="","",IF(NOT(ISNUMBER(INDEX(Tarifa!$G$13:$G$512,$J350))),"Revisa",IF($J$1=1,INDEX(Tarifa!$G$13:$G$512,$J350),ROUND(ROUND(INDEX(Tarifa!$G$13:$G$512,$J350)*(1+$J$2/100)/$J$3,0)*$J$3,2)))))</f>
        <v/>
      </c>
      <c r="G350" s="42">
        <f>IF(OR(NOT(ISNUMBER(F350)),N(E350)&lt;=1),"",ROUND(F350/E350,3))</f>
        <v/>
      </c>
      <c r="H350" s="43">
        <f>IF($J350="","",IF(INDEX(Tarifa!$H$13:$H$512,$J350)="","",INDEX(Tarifa!$H$13:$H$512,$J350)))</f>
        <v/>
      </c>
      <c r="I350" s="41">
        <f>IF(OR($M$3="No",$M$3="",NOT(ISNUMBER(F350))),"",IF(NOT(ISNUMBER(H350)),"Falta IVA",ROUND(F350*(1+(H350+IF($M$3="Con IVA y recargo",IF(H350=21,5.2,IF(H350=10,1.4,IF(H350=4,0.5,0))),0))/100),2)))</f>
        <v/>
      </c>
      <c r="J350">
        <f>IFERROR(MATCH(340,Tarifa!$O$13:$O$512,0),"")</f>
        <v/>
      </c>
    </row>
    <row r="351" ht="17" customHeight="1">
      <c r="A351" s="38">
        <f>IF($J351="","",IFERROR(IF(INDEX(Tarifa!$E$13:$E$512,$J351)&amp;""=INDEX(Tarifa!$E$13:$E$512,$J350)&amp;"","",INDEX(Tarifa!$E$13:$E$512,$J351)&amp;""),""))</f>
        <v/>
      </c>
      <c r="B351" s="39">
        <f>IF($J351="","",INDEX(Tarifa!$A$13:$A$512,$J351)&amp;"")</f>
        <v/>
      </c>
      <c r="C351" s="39">
        <f>IF($J351="","",INDEX(Tarifa!$B$13:$B$512,$J351)&amp;"")</f>
        <v/>
      </c>
      <c r="D351" s="39">
        <f>IF($J351="","",INDEX(Tarifa!$C$13:$C$512,$J351)&amp;"")</f>
        <v/>
      </c>
      <c r="E351" s="40">
        <f>IF($J351="","",IF(INDEX(Tarifa!$D$13:$D$512,$J351)="","",INDEX(Tarifa!$D$13:$D$512,$J351)))</f>
        <v/>
      </c>
      <c r="F351" s="41">
        <f>IF(OR($J351="",$J$1=""),"",IF(INDEX(Tarifa!$G$13:$G$512,$J351)="","",IF(NOT(ISNUMBER(INDEX(Tarifa!$G$13:$G$512,$J351))),"Revisa",IF($J$1=1,INDEX(Tarifa!$G$13:$G$512,$J351),ROUND(ROUND(INDEX(Tarifa!$G$13:$G$512,$J351)*(1+$J$2/100)/$J$3,0)*$J$3,2)))))</f>
        <v/>
      </c>
      <c r="G351" s="42">
        <f>IF(OR(NOT(ISNUMBER(F351)),N(E351)&lt;=1),"",ROUND(F351/E351,3))</f>
        <v/>
      </c>
      <c r="H351" s="43">
        <f>IF($J351="","",IF(INDEX(Tarifa!$H$13:$H$512,$J351)="","",INDEX(Tarifa!$H$13:$H$512,$J351)))</f>
        <v/>
      </c>
      <c r="I351" s="41">
        <f>IF(OR($M$3="No",$M$3="",NOT(ISNUMBER(F351))),"",IF(NOT(ISNUMBER(H351)),"Falta IVA",ROUND(F351*(1+(H351+IF($M$3="Con IVA y recargo",IF(H351=21,5.2,IF(H351=10,1.4,IF(H351=4,0.5,0))),0))/100),2)))</f>
        <v/>
      </c>
      <c r="J351">
        <f>IFERROR(MATCH(341,Tarifa!$O$13:$O$512,0),"")</f>
        <v/>
      </c>
    </row>
    <row r="352" ht="17" customHeight="1">
      <c r="A352" s="38">
        <f>IF($J352="","",IFERROR(IF(INDEX(Tarifa!$E$13:$E$512,$J352)&amp;""=INDEX(Tarifa!$E$13:$E$512,$J351)&amp;"","",INDEX(Tarifa!$E$13:$E$512,$J352)&amp;""),""))</f>
        <v/>
      </c>
      <c r="B352" s="39">
        <f>IF($J352="","",INDEX(Tarifa!$A$13:$A$512,$J352)&amp;"")</f>
        <v/>
      </c>
      <c r="C352" s="39">
        <f>IF($J352="","",INDEX(Tarifa!$B$13:$B$512,$J352)&amp;"")</f>
        <v/>
      </c>
      <c r="D352" s="39">
        <f>IF($J352="","",INDEX(Tarifa!$C$13:$C$512,$J352)&amp;"")</f>
        <v/>
      </c>
      <c r="E352" s="40">
        <f>IF($J352="","",IF(INDEX(Tarifa!$D$13:$D$512,$J352)="","",INDEX(Tarifa!$D$13:$D$512,$J352)))</f>
        <v/>
      </c>
      <c r="F352" s="41">
        <f>IF(OR($J352="",$J$1=""),"",IF(INDEX(Tarifa!$G$13:$G$512,$J352)="","",IF(NOT(ISNUMBER(INDEX(Tarifa!$G$13:$G$512,$J352))),"Revisa",IF($J$1=1,INDEX(Tarifa!$G$13:$G$512,$J352),ROUND(ROUND(INDEX(Tarifa!$G$13:$G$512,$J352)*(1+$J$2/100)/$J$3,0)*$J$3,2)))))</f>
        <v/>
      </c>
      <c r="G352" s="42">
        <f>IF(OR(NOT(ISNUMBER(F352)),N(E352)&lt;=1),"",ROUND(F352/E352,3))</f>
        <v/>
      </c>
      <c r="H352" s="43">
        <f>IF($J352="","",IF(INDEX(Tarifa!$H$13:$H$512,$J352)="","",INDEX(Tarifa!$H$13:$H$512,$J352)))</f>
        <v/>
      </c>
      <c r="I352" s="41">
        <f>IF(OR($M$3="No",$M$3="",NOT(ISNUMBER(F352))),"",IF(NOT(ISNUMBER(H352)),"Falta IVA",ROUND(F352*(1+(H352+IF($M$3="Con IVA y recargo",IF(H352=21,5.2,IF(H352=10,1.4,IF(H352=4,0.5,0))),0))/100),2)))</f>
        <v/>
      </c>
      <c r="J352">
        <f>IFERROR(MATCH(342,Tarifa!$O$13:$O$512,0),"")</f>
        <v/>
      </c>
    </row>
    <row r="353" ht="17" customHeight="1">
      <c r="A353" s="38">
        <f>IF($J353="","",IFERROR(IF(INDEX(Tarifa!$E$13:$E$512,$J353)&amp;""=INDEX(Tarifa!$E$13:$E$512,$J352)&amp;"","",INDEX(Tarifa!$E$13:$E$512,$J353)&amp;""),""))</f>
        <v/>
      </c>
      <c r="B353" s="39">
        <f>IF($J353="","",INDEX(Tarifa!$A$13:$A$512,$J353)&amp;"")</f>
        <v/>
      </c>
      <c r="C353" s="39">
        <f>IF($J353="","",INDEX(Tarifa!$B$13:$B$512,$J353)&amp;"")</f>
        <v/>
      </c>
      <c r="D353" s="39">
        <f>IF($J353="","",INDEX(Tarifa!$C$13:$C$512,$J353)&amp;"")</f>
        <v/>
      </c>
      <c r="E353" s="40">
        <f>IF($J353="","",IF(INDEX(Tarifa!$D$13:$D$512,$J353)="","",INDEX(Tarifa!$D$13:$D$512,$J353)))</f>
        <v/>
      </c>
      <c r="F353" s="41">
        <f>IF(OR($J353="",$J$1=""),"",IF(INDEX(Tarifa!$G$13:$G$512,$J353)="","",IF(NOT(ISNUMBER(INDEX(Tarifa!$G$13:$G$512,$J353))),"Revisa",IF($J$1=1,INDEX(Tarifa!$G$13:$G$512,$J353),ROUND(ROUND(INDEX(Tarifa!$G$13:$G$512,$J353)*(1+$J$2/100)/$J$3,0)*$J$3,2)))))</f>
        <v/>
      </c>
      <c r="G353" s="42">
        <f>IF(OR(NOT(ISNUMBER(F353)),N(E353)&lt;=1),"",ROUND(F353/E353,3))</f>
        <v/>
      </c>
      <c r="H353" s="43">
        <f>IF($J353="","",IF(INDEX(Tarifa!$H$13:$H$512,$J353)="","",INDEX(Tarifa!$H$13:$H$512,$J353)))</f>
        <v/>
      </c>
      <c r="I353" s="41">
        <f>IF(OR($M$3="No",$M$3="",NOT(ISNUMBER(F353))),"",IF(NOT(ISNUMBER(H353)),"Falta IVA",ROUND(F353*(1+(H353+IF($M$3="Con IVA y recargo",IF(H353=21,5.2,IF(H353=10,1.4,IF(H353=4,0.5,0))),0))/100),2)))</f>
        <v/>
      </c>
      <c r="J353">
        <f>IFERROR(MATCH(343,Tarifa!$O$13:$O$512,0),"")</f>
        <v/>
      </c>
    </row>
    <row r="354" ht="17" customHeight="1">
      <c r="A354" s="38">
        <f>IF($J354="","",IFERROR(IF(INDEX(Tarifa!$E$13:$E$512,$J354)&amp;""=INDEX(Tarifa!$E$13:$E$512,$J353)&amp;"","",INDEX(Tarifa!$E$13:$E$512,$J354)&amp;""),""))</f>
        <v/>
      </c>
      <c r="B354" s="39">
        <f>IF($J354="","",INDEX(Tarifa!$A$13:$A$512,$J354)&amp;"")</f>
        <v/>
      </c>
      <c r="C354" s="39">
        <f>IF($J354="","",INDEX(Tarifa!$B$13:$B$512,$J354)&amp;"")</f>
        <v/>
      </c>
      <c r="D354" s="39">
        <f>IF($J354="","",INDEX(Tarifa!$C$13:$C$512,$J354)&amp;"")</f>
        <v/>
      </c>
      <c r="E354" s="40">
        <f>IF($J354="","",IF(INDEX(Tarifa!$D$13:$D$512,$J354)="","",INDEX(Tarifa!$D$13:$D$512,$J354)))</f>
        <v/>
      </c>
      <c r="F354" s="41">
        <f>IF(OR($J354="",$J$1=""),"",IF(INDEX(Tarifa!$G$13:$G$512,$J354)="","",IF(NOT(ISNUMBER(INDEX(Tarifa!$G$13:$G$512,$J354))),"Revisa",IF($J$1=1,INDEX(Tarifa!$G$13:$G$512,$J354),ROUND(ROUND(INDEX(Tarifa!$G$13:$G$512,$J354)*(1+$J$2/100)/$J$3,0)*$J$3,2)))))</f>
        <v/>
      </c>
      <c r="G354" s="42">
        <f>IF(OR(NOT(ISNUMBER(F354)),N(E354)&lt;=1),"",ROUND(F354/E354,3))</f>
        <v/>
      </c>
      <c r="H354" s="43">
        <f>IF($J354="","",IF(INDEX(Tarifa!$H$13:$H$512,$J354)="","",INDEX(Tarifa!$H$13:$H$512,$J354)))</f>
        <v/>
      </c>
      <c r="I354" s="41">
        <f>IF(OR($M$3="No",$M$3="",NOT(ISNUMBER(F354))),"",IF(NOT(ISNUMBER(H354)),"Falta IVA",ROUND(F354*(1+(H354+IF($M$3="Con IVA y recargo",IF(H354=21,5.2,IF(H354=10,1.4,IF(H354=4,0.5,0))),0))/100),2)))</f>
        <v/>
      </c>
      <c r="J354">
        <f>IFERROR(MATCH(344,Tarifa!$O$13:$O$512,0),"")</f>
        <v/>
      </c>
    </row>
    <row r="355" ht="17" customHeight="1">
      <c r="A355" s="38">
        <f>IF($J355="","",IFERROR(IF(INDEX(Tarifa!$E$13:$E$512,$J355)&amp;""=INDEX(Tarifa!$E$13:$E$512,$J354)&amp;"","",INDEX(Tarifa!$E$13:$E$512,$J355)&amp;""),""))</f>
        <v/>
      </c>
      <c r="B355" s="39">
        <f>IF($J355="","",INDEX(Tarifa!$A$13:$A$512,$J355)&amp;"")</f>
        <v/>
      </c>
      <c r="C355" s="39">
        <f>IF($J355="","",INDEX(Tarifa!$B$13:$B$512,$J355)&amp;"")</f>
        <v/>
      </c>
      <c r="D355" s="39">
        <f>IF($J355="","",INDEX(Tarifa!$C$13:$C$512,$J355)&amp;"")</f>
        <v/>
      </c>
      <c r="E355" s="40">
        <f>IF($J355="","",IF(INDEX(Tarifa!$D$13:$D$512,$J355)="","",INDEX(Tarifa!$D$13:$D$512,$J355)))</f>
        <v/>
      </c>
      <c r="F355" s="41">
        <f>IF(OR($J355="",$J$1=""),"",IF(INDEX(Tarifa!$G$13:$G$512,$J355)="","",IF(NOT(ISNUMBER(INDEX(Tarifa!$G$13:$G$512,$J355))),"Revisa",IF($J$1=1,INDEX(Tarifa!$G$13:$G$512,$J355),ROUND(ROUND(INDEX(Tarifa!$G$13:$G$512,$J355)*(1+$J$2/100)/$J$3,0)*$J$3,2)))))</f>
        <v/>
      </c>
      <c r="G355" s="42">
        <f>IF(OR(NOT(ISNUMBER(F355)),N(E355)&lt;=1),"",ROUND(F355/E355,3))</f>
        <v/>
      </c>
      <c r="H355" s="43">
        <f>IF($J355="","",IF(INDEX(Tarifa!$H$13:$H$512,$J355)="","",INDEX(Tarifa!$H$13:$H$512,$J355)))</f>
        <v/>
      </c>
      <c r="I355" s="41">
        <f>IF(OR($M$3="No",$M$3="",NOT(ISNUMBER(F355))),"",IF(NOT(ISNUMBER(H355)),"Falta IVA",ROUND(F355*(1+(H355+IF($M$3="Con IVA y recargo",IF(H355=21,5.2,IF(H355=10,1.4,IF(H355=4,0.5,0))),0))/100),2)))</f>
        <v/>
      </c>
      <c r="J355">
        <f>IFERROR(MATCH(345,Tarifa!$O$13:$O$512,0),"")</f>
        <v/>
      </c>
    </row>
    <row r="356" ht="17" customHeight="1">
      <c r="A356" s="38">
        <f>IF($J356="","",IFERROR(IF(INDEX(Tarifa!$E$13:$E$512,$J356)&amp;""=INDEX(Tarifa!$E$13:$E$512,$J355)&amp;"","",INDEX(Tarifa!$E$13:$E$512,$J356)&amp;""),""))</f>
        <v/>
      </c>
      <c r="B356" s="39">
        <f>IF($J356="","",INDEX(Tarifa!$A$13:$A$512,$J356)&amp;"")</f>
        <v/>
      </c>
      <c r="C356" s="39">
        <f>IF($J356="","",INDEX(Tarifa!$B$13:$B$512,$J356)&amp;"")</f>
        <v/>
      </c>
      <c r="D356" s="39">
        <f>IF($J356="","",INDEX(Tarifa!$C$13:$C$512,$J356)&amp;"")</f>
        <v/>
      </c>
      <c r="E356" s="40">
        <f>IF($J356="","",IF(INDEX(Tarifa!$D$13:$D$512,$J356)="","",INDEX(Tarifa!$D$13:$D$512,$J356)))</f>
        <v/>
      </c>
      <c r="F356" s="41">
        <f>IF(OR($J356="",$J$1=""),"",IF(INDEX(Tarifa!$G$13:$G$512,$J356)="","",IF(NOT(ISNUMBER(INDEX(Tarifa!$G$13:$G$512,$J356))),"Revisa",IF($J$1=1,INDEX(Tarifa!$G$13:$G$512,$J356),ROUND(ROUND(INDEX(Tarifa!$G$13:$G$512,$J356)*(1+$J$2/100)/$J$3,0)*$J$3,2)))))</f>
        <v/>
      </c>
      <c r="G356" s="42">
        <f>IF(OR(NOT(ISNUMBER(F356)),N(E356)&lt;=1),"",ROUND(F356/E356,3))</f>
        <v/>
      </c>
      <c r="H356" s="43">
        <f>IF($J356="","",IF(INDEX(Tarifa!$H$13:$H$512,$J356)="","",INDEX(Tarifa!$H$13:$H$512,$J356)))</f>
        <v/>
      </c>
      <c r="I356" s="41">
        <f>IF(OR($M$3="No",$M$3="",NOT(ISNUMBER(F356))),"",IF(NOT(ISNUMBER(H356)),"Falta IVA",ROUND(F356*(1+(H356+IF($M$3="Con IVA y recargo",IF(H356=21,5.2,IF(H356=10,1.4,IF(H356=4,0.5,0))),0))/100),2)))</f>
        <v/>
      </c>
      <c r="J356">
        <f>IFERROR(MATCH(346,Tarifa!$O$13:$O$512,0),"")</f>
        <v/>
      </c>
    </row>
    <row r="357" ht="17" customHeight="1">
      <c r="A357" s="38">
        <f>IF($J357="","",IFERROR(IF(INDEX(Tarifa!$E$13:$E$512,$J357)&amp;""=INDEX(Tarifa!$E$13:$E$512,$J356)&amp;"","",INDEX(Tarifa!$E$13:$E$512,$J357)&amp;""),""))</f>
        <v/>
      </c>
      <c r="B357" s="39">
        <f>IF($J357="","",INDEX(Tarifa!$A$13:$A$512,$J357)&amp;"")</f>
        <v/>
      </c>
      <c r="C357" s="39">
        <f>IF($J357="","",INDEX(Tarifa!$B$13:$B$512,$J357)&amp;"")</f>
        <v/>
      </c>
      <c r="D357" s="39">
        <f>IF($J357="","",INDEX(Tarifa!$C$13:$C$512,$J357)&amp;"")</f>
        <v/>
      </c>
      <c r="E357" s="40">
        <f>IF($J357="","",IF(INDEX(Tarifa!$D$13:$D$512,$J357)="","",INDEX(Tarifa!$D$13:$D$512,$J357)))</f>
        <v/>
      </c>
      <c r="F357" s="41">
        <f>IF(OR($J357="",$J$1=""),"",IF(INDEX(Tarifa!$G$13:$G$512,$J357)="","",IF(NOT(ISNUMBER(INDEX(Tarifa!$G$13:$G$512,$J357))),"Revisa",IF($J$1=1,INDEX(Tarifa!$G$13:$G$512,$J357),ROUND(ROUND(INDEX(Tarifa!$G$13:$G$512,$J357)*(1+$J$2/100)/$J$3,0)*$J$3,2)))))</f>
        <v/>
      </c>
      <c r="G357" s="42">
        <f>IF(OR(NOT(ISNUMBER(F357)),N(E357)&lt;=1),"",ROUND(F357/E357,3))</f>
        <v/>
      </c>
      <c r="H357" s="43">
        <f>IF($J357="","",IF(INDEX(Tarifa!$H$13:$H$512,$J357)="","",INDEX(Tarifa!$H$13:$H$512,$J357)))</f>
        <v/>
      </c>
      <c r="I357" s="41">
        <f>IF(OR($M$3="No",$M$3="",NOT(ISNUMBER(F357))),"",IF(NOT(ISNUMBER(H357)),"Falta IVA",ROUND(F357*(1+(H357+IF($M$3="Con IVA y recargo",IF(H357=21,5.2,IF(H357=10,1.4,IF(H357=4,0.5,0))),0))/100),2)))</f>
        <v/>
      </c>
      <c r="J357">
        <f>IFERROR(MATCH(347,Tarifa!$O$13:$O$512,0),"")</f>
        <v/>
      </c>
    </row>
    <row r="358" ht="17" customHeight="1">
      <c r="A358" s="38">
        <f>IF($J358="","",IFERROR(IF(INDEX(Tarifa!$E$13:$E$512,$J358)&amp;""=INDEX(Tarifa!$E$13:$E$512,$J357)&amp;"","",INDEX(Tarifa!$E$13:$E$512,$J358)&amp;""),""))</f>
        <v/>
      </c>
      <c r="B358" s="39">
        <f>IF($J358="","",INDEX(Tarifa!$A$13:$A$512,$J358)&amp;"")</f>
        <v/>
      </c>
      <c r="C358" s="39">
        <f>IF($J358="","",INDEX(Tarifa!$B$13:$B$512,$J358)&amp;"")</f>
        <v/>
      </c>
      <c r="D358" s="39">
        <f>IF($J358="","",INDEX(Tarifa!$C$13:$C$512,$J358)&amp;"")</f>
        <v/>
      </c>
      <c r="E358" s="40">
        <f>IF($J358="","",IF(INDEX(Tarifa!$D$13:$D$512,$J358)="","",INDEX(Tarifa!$D$13:$D$512,$J358)))</f>
        <v/>
      </c>
      <c r="F358" s="41">
        <f>IF(OR($J358="",$J$1=""),"",IF(INDEX(Tarifa!$G$13:$G$512,$J358)="","",IF(NOT(ISNUMBER(INDEX(Tarifa!$G$13:$G$512,$J358))),"Revisa",IF($J$1=1,INDEX(Tarifa!$G$13:$G$512,$J358),ROUND(ROUND(INDEX(Tarifa!$G$13:$G$512,$J358)*(1+$J$2/100)/$J$3,0)*$J$3,2)))))</f>
        <v/>
      </c>
      <c r="G358" s="42">
        <f>IF(OR(NOT(ISNUMBER(F358)),N(E358)&lt;=1),"",ROUND(F358/E358,3))</f>
        <v/>
      </c>
      <c r="H358" s="43">
        <f>IF($J358="","",IF(INDEX(Tarifa!$H$13:$H$512,$J358)="","",INDEX(Tarifa!$H$13:$H$512,$J358)))</f>
        <v/>
      </c>
      <c r="I358" s="41">
        <f>IF(OR($M$3="No",$M$3="",NOT(ISNUMBER(F358))),"",IF(NOT(ISNUMBER(H358)),"Falta IVA",ROUND(F358*(1+(H358+IF($M$3="Con IVA y recargo",IF(H358=21,5.2,IF(H358=10,1.4,IF(H358=4,0.5,0))),0))/100),2)))</f>
        <v/>
      </c>
      <c r="J358">
        <f>IFERROR(MATCH(348,Tarifa!$O$13:$O$512,0),"")</f>
        <v/>
      </c>
    </row>
    <row r="359" ht="17" customHeight="1">
      <c r="A359" s="38">
        <f>IF($J359="","",IFERROR(IF(INDEX(Tarifa!$E$13:$E$512,$J359)&amp;""=INDEX(Tarifa!$E$13:$E$512,$J358)&amp;"","",INDEX(Tarifa!$E$13:$E$512,$J359)&amp;""),""))</f>
        <v/>
      </c>
      <c r="B359" s="39">
        <f>IF($J359="","",INDEX(Tarifa!$A$13:$A$512,$J359)&amp;"")</f>
        <v/>
      </c>
      <c r="C359" s="39">
        <f>IF($J359="","",INDEX(Tarifa!$B$13:$B$512,$J359)&amp;"")</f>
        <v/>
      </c>
      <c r="D359" s="39">
        <f>IF($J359="","",INDEX(Tarifa!$C$13:$C$512,$J359)&amp;"")</f>
        <v/>
      </c>
      <c r="E359" s="40">
        <f>IF($J359="","",IF(INDEX(Tarifa!$D$13:$D$512,$J359)="","",INDEX(Tarifa!$D$13:$D$512,$J359)))</f>
        <v/>
      </c>
      <c r="F359" s="41">
        <f>IF(OR($J359="",$J$1=""),"",IF(INDEX(Tarifa!$G$13:$G$512,$J359)="","",IF(NOT(ISNUMBER(INDEX(Tarifa!$G$13:$G$512,$J359))),"Revisa",IF($J$1=1,INDEX(Tarifa!$G$13:$G$512,$J359),ROUND(ROUND(INDEX(Tarifa!$G$13:$G$512,$J359)*(1+$J$2/100)/$J$3,0)*$J$3,2)))))</f>
        <v/>
      </c>
      <c r="G359" s="42">
        <f>IF(OR(NOT(ISNUMBER(F359)),N(E359)&lt;=1),"",ROUND(F359/E359,3))</f>
        <v/>
      </c>
      <c r="H359" s="43">
        <f>IF($J359="","",IF(INDEX(Tarifa!$H$13:$H$512,$J359)="","",INDEX(Tarifa!$H$13:$H$512,$J359)))</f>
        <v/>
      </c>
      <c r="I359" s="41">
        <f>IF(OR($M$3="No",$M$3="",NOT(ISNUMBER(F359))),"",IF(NOT(ISNUMBER(H359)),"Falta IVA",ROUND(F359*(1+(H359+IF($M$3="Con IVA y recargo",IF(H359=21,5.2,IF(H359=10,1.4,IF(H359=4,0.5,0))),0))/100),2)))</f>
        <v/>
      </c>
      <c r="J359">
        <f>IFERROR(MATCH(349,Tarifa!$O$13:$O$512,0),"")</f>
        <v/>
      </c>
    </row>
    <row r="360" ht="17" customHeight="1">
      <c r="A360" s="38">
        <f>IF($J360="","",IFERROR(IF(INDEX(Tarifa!$E$13:$E$512,$J360)&amp;""=INDEX(Tarifa!$E$13:$E$512,$J359)&amp;"","",INDEX(Tarifa!$E$13:$E$512,$J360)&amp;""),""))</f>
        <v/>
      </c>
      <c r="B360" s="39">
        <f>IF($J360="","",INDEX(Tarifa!$A$13:$A$512,$J360)&amp;"")</f>
        <v/>
      </c>
      <c r="C360" s="39">
        <f>IF($J360="","",INDEX(Tarifa!$B$13:$B$512,$J360)&amp;"")</f>
        <v/>
      </c>
      <c r="D360" s="39">
        <f>IF($J360="","",INDEX(Tarifa!$C$13:$C$512,$J360)&amp;"")</f>
        <v/>
      </c>
      <c r="E360" s="40">
        <f>IF($J360="","",IF(INDEX(Tarifa!$D$13:$D$512,$J360)="","",INDEX(Tarifa!$D$13:$D$512,$J360)))</f>
        <v/>
      </c>
      <c r="F360" s="41">
        <f>IF(OR($J360="",$J$1=""),"",IF(INDEX(Tarifa!$G$13:$G$512,$J360)="","",IF(NOT(ISNUMBER(INDEX(Tarifa!$G$13:$G$512,$J360))),"Revisa",IF($J$1=1,INDEX(Tarifa!$G$13:$G$512,$J360),ROUND(ROUND(INDEX(Tarifa!$G$13:$G$512,$J360)*(1+$J$2/100)/$J$3,0)*$J$3,2)))))</f>
        <v/>
      </c>
      <c r="G360" s="42">
        <f>IF(OR(NOT(ISNUMBER(F360)),N(E360)&lt;=1),"",ROUND(F360/E360,3))</f>
        <v/>
      </c>
      <c r="H360" s="43">
        <f>IF($J360="","",IF(INDEX(Tarifa!$H$13:$H$512,$J360)="","",INDEX(Tarifa!$H$13:$H$512,$J360)))</f>
        <v/>
      </c>
      <c r="I360" s="41">
        <f>IF(OR($M$3="No",$M$3="",NOT(ISNUMBER(F360))),"",IF(NOT(ISNUMBER(H360)),"Falta IVA",ROUND(F360*(1+(H360+IF($M$3="Con IVA y recargo",IF(H360=21,5.2,IF(H360=10,1.4,IF(H360=4,0.5,0))),0))/100),2)))</f>
        <v/>
      </c>
      <c r="J360">
        <f>IFERROR(MATCH(350,Tarifa!$O$13:$O$512,0),"")</f>
        <v/>
      </c>
    </row>
    <row r="361" ht="17" customHeight="1">
      <c r="A361" s="38">
        <f>IF($J361="","",IFERROR(IF(INDEX(Tarifa!$E$13:$E$512,$J361)&amp;""=INDEX(Tarifa!$E$13:$E$512,$J360)&amp;"","",INDEX(Tarifa!$E$13:$E$512,$J361)&amp;""),""))</f>
        <v/>
      </c>
      <c r="B361" s="39">
        <f>IF($J361="","",INDEX(Tarifa!$A$13:$A$512,$J361)&amp;"")</f>
        <v/>
      </c>
      <c r="C361" s="39">
        <f>IF($J361="","",INDEX(Tarifa!$B$13:$B$512,$J361)&amp;"")</f>
        <v/>
      </c>
      <c r="D361" s="39">
        <f>IF($J361="","",INDEX(Tarifa!$C$13:$C$512,$J361)&amp;"")</f>
        <v/>
      </c>
      <c r="E361" s="40">
        <f>IF($J361="","",IF(INDEX(Tarifa!$D$13:$D$512,$J361)="","",INDEX(Tarifa!$D$13:$D$512,$J361)))</f>
        <v/>
      </c>
      <c r="F361" s="41">
        <f>IF(OR($J361="",$J$1=""),"",IF(INDEX(Tarifa!$G$13:$G$512,$J361)="","",IF(NOT(ISNUMBER(INDEX(Tarifa!$G$13:$G$512,$J361))),"Revisa",IF($J$1=1,INDEX(Tarifa!$G$13:$G$512,$J361),ROUND(ROUND(INDEX(Tarifa!$G$13:$G$512,$J361)*(1+$J$2/100)/$J$3,0)*$J$3,2)))))</f>
        <v/>
      </c>
      <c r="G361" s="42">
        <f>IF(OR(NOT(ISNUMBER(F361)),N(E361)&lt;=1),"",ROUND(F361/E361,3))</f>
        <v/>
      </c>
      <c r="H361" s="43">
        <f>IF($J361="","",IF(INDEX(Tarifa!$H$13:$H$512,$J361)="","",INDEX(Tarifa!$H$13:$H$512,$J361)))</f>
        <v/>
      </c>
      <c r="I361" s="41">
        <f>IF(OR($M$3="No",$M$3="",NOT(ISNUMBER(F361))),"",IF(NOT(ISNUMBER(H361)),"Falta IVA",ROUND(F361*(1+(H361+IF($M$3="Con IVA y recargo",IF(H361=21,5.2,IF(H361=10,1.4,IF(H361=4,0.5,0))),0))/100),2)))</f>
        <v/>
      </c>
      <c r="J361">
        <f>IFERROR(MATCH(351,Tarifa!$O$13:$O$512,0),"")</f>
        <v/>
      </c>
    </row>
    <row r="362" ht="17" customHeight="1">
      <c r="A362" s="38">
        <f>IF($J362="","",IFERROR(IF(INDEX(Tarifa!$E$13:$E$512,$J362)&amp;""=INDEX(Tarifa!$E$13:$E$512,$J361)&amp;"","",INDEX(Tarifa!$E$13:$E$512,$J362)&amp;""),""))</f>
        <v/>
      </c>
      <c r="B362" s="39">
        <f>IF($J362="","",INDEX(Tarifa!$A$13:$A$512,$J362)&amp;"")</f>
        <v/>
      </c>
      <c r="C362" s="39">
        <f>IF($J362="","",INDEX(Tarifa!$B$13:$B$512,$J362)&amp;"")</f>
        <v/>
      </c>
      <c r="D362" s="39">
        <f>IF($J362="","",INDEX(Tarifa!$C$13:$C$512,$J362)&amp;"")</f>
        <v/>
      </c>
      <c r="E362" s="40">
        <f>IF($J362="","",IF(INDEX(Tarifa!$D$13:$D$512,$J362)="","",INDEX(Tarifa!$D$13:$D$512,$J362)))</f>
        <v/>
      </c>
      <c r="F362" s="41">
        <f>IF(OR($J362="",$J$1=""),"",IF(INDEX(Tarifa!$G$13:$G$512,$J362)="","",IF(NOT(ISNUMBER(INDEX(Tarifa!$G$13:$G$512,$J362))),"Revisa",IF($J$1=1,INDEX(Tarifa!$G$13:$G$512,$J362),ROUND(ROUND(INDEX(Tarifa!$G$13:$G$512,$J362)*(1+$J$2/100)/$J$3,0)*$J$3,2)))))</f>
        <v/>
      </c>
      <c r="G362" s="42">
        <f>IF(OR(NOT(ISNUMBER(F362)),N(E362)&lt;=1),"",ROUND(F362/E362,3))</f>
        <v/>
      </c>
      <c r="H362" s="43">
        <f>IF($J362="","",IF(INDEX(Tarifa!$H$13:$H$512,$J362)="","",INDEX(Tarifa!$H$13:$H$512,$J362)))</f>
        <v/>
      </c>
      <c r="I362" s="41">
        <f>IF(OR($M$3="No",$M$3="",NOT(ISNUMBER(F362))),"",IF(NOT(ISNUMBER(H362)),"Falta IVA",ROUND(F362*(1+(H362+IF($M$3="Con IVA y recargo",IF(H362=21,5.2,IF(H362=10,1.4,IF(H362=4,0.5,0))),0))/100),2)))</f>
        <v/>
      </c>
      <c r="J362">
        <f>IFERROR(MATCH(352,Tarifa!$O$13:$O$512,0),"")</f>
        <v/>
      </c>
    </row>
    <row r="363" ht="17" customHeight="1">
      <c r="A363" s="38">
        <f>IF($J363="","",IFERROR(IF(INDEX(Tarifa!$E$13:$E$512,$J363)&amp;""=INDEX(Tarifa!$E$13:$E$512,$J362)&amp;"","",INDEX(Tarifa!$E$13:$E$512,$J363)&amp;""),""))</f>
        <v/>
      </c>
      <c r="B363" s="39">
        <f>IF($J363="","",INDEX(Tarifa!$A$13:$A$512,$J363)&amp;"")</f>
        <v/>
      </c>
      <c r="C363" s="39">
        <f>IF($J363="","",INDEX(Tarifa!$B$13:$B$512,$J363)&amp;"")</f>
        <v/>
      </c>
      <c r="D363" s="39">
        <f>IF($J363="","",INDEX(Tarifa!$C$13:$C$512,$J363)&amp;"")</f>
        <v/>
      </c>
      <c r="E363" s="40">
        <f>IF($J363="","",IF(INDEX(Tarifa!$D$13:$D$512,$J363)="","",INDEX(Tarifa!$D$13:$D$512,$J363)))</f>
        <v/>
      </c>
      <c r="F363" s="41">
        <f>IF(OR($J363="",$J$1=""),"",IF(INDEX(Tarifa!$G$13:$G$512,$J363)="","",IF(NOT(ISNUMBER(INDEX(Tarifa!$G$13:$G$512,$J363))),"Revisa",IF($J$1=1,INDEX(Tarifa!$G$13:$G$512,$J363),ROUND(ROUND(INDEX(Tarifa!$G$13:$G$512,$J363)*(1+$J$2/100)/$J$3,0)*$J$3,2)))))</f>
        <v/>
      </c>
      <c r="G363" s="42">
        <f>IF(OR(NOT(ISNUMBER(F363)),N(E363)&lt;=1),"",ROUND(F363/E363,3))</f>
        <v/>
      </c>
      <c r="H363" s="43">
        <f>IF($J363="","",IF(INDEX(Tarifa!$H$13:$H$512,$J363)="","",INDEX(Tarifa!$H$13:$H$512,$J363)))</f>
        <v/>
      </c>
      <c r="I363" s="41">
        <f>IF(OR($M$3="No",$M$3="",NOT(ISNUMBER(F363))),"",IF(NOT(ISNUMBER(H363)),"Falta IVA",ROUND(F363*(1+(H363+IF($M$3="Con IVA y recargo",IF(H363=21,5.2,IF(H363=10,1.4,IF(H363=4,0.5,0))),0))/100),2)))</f>
        <v/>
      </c>
      <c r="J363">
        <f>IFERROR(MATCH(353,Tarifa!$O$13:$O$512,0),"")</f>
        <v/>
      </c>
    </row>
    <row r="364" ht="17" customHeight="1">
      <c r="A364" s="38">
        <f>IF($J364="","",IFERROR(IF(INDEX(Tarifa!$E$13:$E$512,$J364)&amp;""=INDEX(Tarifa!$E$13:$E$512,$J363)&amp;"","",INDEX(Tarifa!$E$13:$E$512,$J364)&amp;""),""))</f>
        <v/>
      </c>
      <c r="B364" s="39">
        <f>IF($J364="","",INDEX(Tarifa!$A$13:$A$512,$J364)&amp;"")</f>
        <v/>
      </c>
      <c r="C364" s="39">
        <f>IF($J364="","",INDEX(Tarifa!$B$13:$B$512,$J364)&amp;"")</f>
        <v/>
      </c>
      <c r="D364" s="39">
        <f>IF($J364="","",INDEX(Tarifa!$C$13:$C$512,$J364)&amp;"")</f>
        <v/>
      </c>
      <c r="E364" s="40">
        <f>IF($J364="","",IF(INDEX(Tarifa!$D$13:$D$512,$J364)="","",INDEX(Tarifa!$D$13:$D$512,$J364)))</f>
        <v/>
      </c>
      <c r="F364" s="41">
        <f>IF(OR($J364="",$J$1=""),"",IF(INDEX(Tarifa!$G$13:$G$512,$J364)="","",IF(NOT(ISNUMBER(INDEX(Tarifa!$G$13:$G$512,$J364))),"Revisa",IF($J$1=1,INDEX(Tarifa!$G$13:$G$512,$J364),ROUND(ROUND(INDEX(Tarifa!$G$13:$G$512,$J364)*(1+$J$2/100)/$J$3,0)*$J$3,2)))))</f>
        <v/>
      </c>
      <c r="G364" s="42">
        <f>IF(OR(NOT(ISNUMBER(F364)),N(E364)&lt;=1),"",ROUND(F364/E364,3))</f>
        <v/>
      </c>
      <c r="H364" s="43">
        <f>IF($J364="","",IF(INDEX(Tarifa!$H$13:$H$512,$J364)="","",INDEX(Tarifa!$H$13:$H$512,$J364)))</f>
        <v/>
      </c>
      <c r="I364" s="41">
        <f>IF(OR($M$3="No",$M$3="",NOT(ISNUMBER(F364))),"",IF(NOT(ISNUMBER(H364)),"Falta IVA",ROUND(F364*(1+(H364+IF($M$3="Con IVA y recargo",IF(H364=21,5.2,IF(H364=10,1.4,IF(H364=4,0.5,0))),0))/100),2)))</f>
        <v/>
      </c>
      <c r="J364">
        <f>IFERROR(MATCH(354,Tarifa!$O$13:$O$512,0),"")</f>
        <v/>
      </c>
    </row>
    <row r="365" ht="17" customHeight="1">
      <c r="A365" s="38">
        <f>IF($J365="","",IFERROR(IF(INDEX(Tarifa!$E$13:$E$512,$J365)&amp;""=INDEX(Tarifa!$E$13:$E$512,$J364)&amp;"","",INDEX(Tarifa!$E$13:$E$512,$J365)&amp;""),""))</f>
        <v/>
      </c>
      <c r="B365" s="39">
        <f>IF($J365="","",INDEX(Tarifa!$A$13:$A$512,$J365)&amp;"")</f>
        <v/>
      </c>
      <c r="C365" s="39">
        <f>IF($J365="","",INDEX(Tarifa!$B$13:$B$512,$J365)&amp;"")</f>
        <v/>
      </c>
      <c r="D365" s="39">
        <f>IF($J365="","",INDEX(Tarifa!$C$13:$C$512,$J365)&amp;"")</f>
        <v/>
      </c>
      <c r="E365" s="40">
        <f>IF($J365="","",IF(INDEX(Tarifa!$D$13:$D$512,$J365)="","",INDEX(Tarifa!$D$13:$D$512,$J365)))</f>
        <v/>
      </c>
      <c r="F365" s="41">
        <f>IF(OR($J365="",$J$1=""),"",IF(INDEX(Tarifa!$G$13:$G$512,$J365)="","",IF(NOT(ISNUMBER(INDEX(Tarifa!$G$13:$G$512,$J365))),"Revisa",IF($J$1=1,INDEX(Tarifa!$G$13:$G$512,$J365),ROUND(ROUND(INDEX(Tarifa!$G$13:$G$512,$J365)*(1+$J$2/100)/$J$3,0)*$J$3,2)))))</f>
        <v/>
      </c>
      <c r="G365" s="42">
        <f>IF(OR(NOT(ISNUMBER(F365)),N(E365)&lt;=1),"",ROUND(F365/E365,3))</f>
        <v/>
      </c>
      <c r="H365" s="43">
        <f>IF($J365="","",IF(INDEX(Tarifa!$H$13:$H$512,$J365)="","",INDEX(Tarifa!$H$13:$H$512,$J365)))</f>
        <v/>
      </c>
      <c r="I365" s="41">
        <f>IF(OR($M$3="No",$M$3="",NOT(ISNUMBER(F365))),"",IF(NOT(ISNUMBER(H365)),"Falta IVA",ROUND(F365*(1+(H365+IF($M$3="Con IVA y recargo",IF(H365=21,5.2,IF(H365=10,1.4,IF(H365=4,0.5,0))),0))/100),2)))</f>
        <v/>
      </c>
      <c r="J365">
        <f>IFERROR(MATCH(355,Tarifa!$O$13:$O$512,0),"")</f>
        <v/>
      </c>
    </row>
    <row r="366" ht="17" customHeight="1">
      <c r="A366" s="38">
        <f>IF($J366="","",IFERROR(IF(INDEX(Tarifa!$E$13:$E$512,$J366)&amp;""=INDEX(Tarifa!$E$13:$E$512,$J365)&amp;"","",INDEX(Tarifa!$E$13:$E$512,$J366)&amp;""),""))</f>
        <v/>
      </c>
      <c r="B366" s="39">
        <f>IF($J366="","",INDEX(Tarifa!$A$13:$A$512,$J366)&amp;"")</f>
        <v/>
      </c>
      <c r="C366" s="39">
        <f>IF($J366="","",INDEX(Tarifa!$B$13:$B$512,$J366)&amp;"")</f>
        <v/>
      </c>
      <c r="D366" s="39">
        <f>IF($J366="","",INDEX(Tarifa!$C$13:$C$512,$J366)&amp;"")</f>
        <v/>
      </c>
      <c r="E366" s="40">
        <f>IF($J366="","",IF(INDEX(Tarifa!$D$13:$D$512,$J366)="","",INDEX(Tarifa!$D$13:$D$512,$J366)))</f>
        <v/>
      </c>
      <c r="F366" s="41">
        <f>IF(OR($J366="",$J$1=""),"",IF(INDEX(Tarifa!$G$13:$G$512,$J366)="","",IF(NOT(ISNUMBER(INDEX(Tarifa!$G$13:$G$512,$J366))),"Revisa",IF($J$1=1,INDEX(Tarifa!$G$13:$G$512,$J366),ROUND(ROUND(INDEX(Tarifa!$G$13:$G$512,$J366)*(1+$J$2/100)/$J$3,0)*$J$3,2)))))</f>
        <v/>
      </c>
      <c r="G366" s="42">
        <f>IF(OR(NOT(ISNUMBER(F366)),N(E366)&lt;=1),"",ROUND(F366/E366,3))</f>
        <v/>
      </c>
      <c r="H366" s="43">
        <f>IF($J366="","",IF(INDEX(Tarifa!$H$13:$H$512,$J366)="","",INDEX(Tarifa!$H$13:$H$512,$J366)))</f>
        <v/>
      </c>
      <c r="I366" s="41">
        <f>IF(OR($M$3="No",$M$3="",NOT(ISNUMBER(F366))),"",IF(NOT(ISNUMBER(H366)),"Falta IVA",ROUND(F366*(1+(H366+IF($M$3="Con IVA y recargo",IF(H366=21,5.2,IF(H366=10,1.4,IF(H366=4,0.5,0))),0))/100),2)))</f>
        <v/>
      </c>
      <c r="J366">
        <f>IFERROR(MATCH(356,Tarifa!$O$13:$O$512,0),"")</f>
        <v/>
      </c>
    </row>
    <row r="367" ht="17" customHeight="1">
      <c r="A367" s="38">
        <f>IF($J367="","",IFERROR(IF(INDEX(Tarifa!$E$13:$E$512,$J367)&amp;""=INDEX(Tarifa!$E$13:$E$512,$J366)&amp;"","",INDEX(Tarifa!$E$13:$E$512,$J367)&amp;""),""))</f>
        <v/>
      </c>
      <c r="B367" s="39">
        <f>IF($J367="","",INDEX(Tarifa!$A$13:$A$512,$J367)&amp;"")</f>
        <v/>
      </c>
      <c r="C367" s="39">
        <f>IF($J367="","",INDEX(Tarifa!$B$13:$B$512,$J367)&amp;"")</f>
        <v/>
      </c>
      <c r="D367" s="39">
        <f>IF($J367="","",INDEX(Tarifa!$C$13:$C$512,$J367)&amp;"")</f>
        <v/>
      </c>
      <c r="E367" s="40">
        <f>IF($J367="","",IF(INDEX(Tarifa!$D$13:$D$512,$J367)="","",INDEX(Tarifa!$D$13:$D$512,$J367)))</f>
        <v/>
      </c>
      <c r="F367" s="41">
        <f>IF(OR($J367="",$J$1=""),"",IF(INDEX(Tarifa!$G$13:$G$512,$J367)="","",IF(NOT(ISNUMBER(INDEX(Tarifa!$G$13:$G$512,$J367))),"Revisa",IF($J$1=1,INDEX(Tarifa!$G$13:$G$512,$J367),ROUND(ROUND(INDEX(Tarifa!$G$13:$G$512,$J367)*(1+$J$2/100)/$J$3,0)*$J$3,2)))))</f>
        <v/>
      </c>
      <c r="G367" s="42">
        <f>IF(OR(NOT(ISNUMBER(F367)),N(E367)&lt;=1),"",ROUND(F367/E367,3))</f>
        <v/>
      </c>
      <c r="H367" s="43">
        <f>IF($J367="","",IF(INDEX(Tarifa!$H$13:$H$512,$J367)="","",INDEX(Tarifa!$H$13:$H$512,$J367)))</f>
        <v/>
      </c>
      <c r="I367" s="41">
        <f>IF(OR($M$3="No",$M$3="",NOT(ISNUMBER(F367))),"",IF(NOT(ISNUMBER(H367)),"Falta IVA",ROUND(F367*(1+(H367+IF($M$3="Con IVA y recargo",IF(H367=21,5.2,IF(H367=10,1.4,IF(H367=4,0.5,0))),0))/100),2)))</f>
        <v/>
      </c>
      <c r="J367">
        <f>IFERROR(MATCH(357,Tarifa!$O$13:$O$512,0),"")</f>
        <v/>
      </c>
    </row>
    <row r="368" ht="17" customHeight="1">
      <c r="A368" s="38">
        <f>IF($J368="","",IFERROR(IF(INDEX(Tarifa!$E$13:$E$512,$J368)&amp;""=INDEX(Tarifa!$E$13:$E$512,$J367)&amp;"","",INDEX(Tarifa!$E$13:$E$512,$J368)&amp;""),""))</f>
        <v/>
      </c>
      <c r="B368" s="39">
        <f>IF($J368="","",INDEX(Tarifa!$A$13:$A$512,$J368)&amp;"")</f>
        <v/>
      </c>
      <c r="C368" s="39">
        <f>IF($J368="","",INDEX(Tarifa!$B$13:$B$512,$J368)&amp;"")</f>
        <v/>
      </c>
      <c r="D368" s="39">
        <f>IF($J368="","",INDEX(Tarifa!$C$13:$C$512,$J368)&amp;"")</f>
        <v/>
      </c>
      <c r="E368" s="40">
        <f>IF($J368="","",IF(INDEX(Tarifa!$D$13:$D$512,$J368)="","",INDEX(Tarifa!$D$13:$D$512,$J368)))</f>
        <v/>
      </c>
      <c r="F368" s="41">
        <f>IF(OR($J368="",$J$1=""),"",IF(INDEX(Tarifa!$G$13:$G$512,$J368)="","",IF(NOT(ISNUMBER(INDEX(Tarifa!$G$13:$G$512,$J368))),"Revisa",IF($J$1=1,INDEX(Tarifa!$G$13:$G$512,$J368),ROUND(ROUND(INDEX(Tarifa!$G$13:$G$512,$J368)*(1+$J$2/100)/$J$3,0)*$J$3,2)))))</f>
        <v/>
      </c>
      <c r="G368" s="42">
        <f>IF(OR(NOT(ISNUMBER(F368)),N(E368)&lt;=1),"",ROUND(F368/E368,3))</f>
        <v/>
      </c>
      <c r="H368" s="43">
        <f>IF($J368="","",IF(INDEX(Tarifa!$H$13:$H$512,$J368)="","",INDEX(Tarifa!$H$13:$H$512,$J368)))</f>
        <v/>
      </c>
      <c r="I368" s="41">
        <f>IF(OR($M$3="No",$M$3="",NOT(ISNUMBER(F368))),"",IF(NOT(ISNUMBER(H368)),"Falta IVA",ROUND(F368*(1+(H368+IF($M$3="Con IVA y recargo",IF(H368=21,5.2,IF(H368=10,1.4,IF(H368=4,0.5,0))),0))/100),2)))</f>
        <v/>
      </c>
      <c r="J368">
        <f>IFERROR(MATCH(358,Tarifa!$O$13:$O$512,0),"")</f>
        <v/>
      </c>
    </row>
    <row r="369" ht="17" customHeight="1">
      <c r="A369" s="38">
        <f>IF($J369="","",IFERROR(IF(INDEX(Tarifa!$E$13:$E$512,$J369)&amp;""=INDEX(Tarifa!$E$13:$E$512,$J368)&amp;"","",INDEX(Tarifa!$E$13:$E$512,$J369)&amp;""),""))</f>
        <v/>
      </c>
      <c r="B369" s="39">
        <f>IF($J369="","",INDEX(Tarifa!$A$13:$A$512,$J369)&amp;"")</f>
        <v/>
      </c>
      <c r="C369" s="39">
        <f>IF($J369="","",INDEX(Tarifa!$B$13:$B$512,$J369)&amp;"")</f>
        <v/>
      </c>
      <c r="D369" s="39">
        <f>IF($J369="","",INDEX(Tarifa!$C$13:$C$512,$J369)&amp;"")</f>
        <v/>
      </c>
      <c r="E369" s="40">
        <f>IF($J369="","",IF(INDEX(Tarifa!$D$13:$D$512,$J369)="","",INDEX(Tarifa!$D$13:$D$512,$J369)))</f>
        <v/>
      </c>
      <c r="F369" s="41">
        <f>IF(OR($J369="",$J$1=""),"",IF(INDEX(Tarifa!$G$13:$G$512,$J369)="","",IF(NOT(ISNUMBER(INDEX(Tarifa!$G$13:$G$512,$J369))),"Revisa",IF($J$1=1,INDEX(Tarifa!$G$13:$G$512,$J369),ROUND(ROUND(INDEX(Tarifa!$G$13:$G$512,$J369)*(1+$J$2/100)/$J$3,0)*$J$3,2)))))</f>
        <v/>
      </c>
      <c r="G369" s="42">
        <f>IF(OR(NOT(ISNUMBER(F369)),N(E369)&lt;=1),"",ROUND(F369/E369,3))</f>
        <v/>
      </c>
      <c r="H369" s="43">
        <f>IF($J369="","",IF(INDEX(Tarifa!$H$13:$H$512,$J369)="","",INDEX(Tarifa!$H$13:$H$512,$J369)))</f>
        <v/>
      </c>
      <c r="I369" s="41">
        <f>IF(OR($M$3="No",$M$3="",NOT(ISNUMBER(F369))),"",IF(NOT(ISNUMBER(H369)),"Falta IVA",ROUND(F369*(1+(H369+IF($M$3="Con IVA y recargo",IF(H369=21,5.2,IF(H369=10,1.4,IF(H369=4,0.5,0))),0))/100),2)))</f>
        <v/>
      </c>
      <c r="J369">
        <f>IFERROR(MATCH(359,Tarifa!$O$13:$O$512,0),"")</f>
        <v/>
      </c>
    </row>
    <row r="370" ht="17" customHeight="1">
      <c r="A370" s="38">
        <f>IF($J370="","",IFERROR(IF(INDEX(Tarifa!$E$13:$E$512,$J370)&amp;""=INDEX(Tarifa!$E$13:$E$512,$J369)&amp;"","",INDEX(Tarifa!$E$13:$E$512,$J370)&amp;""),""))</f>
        <v/>
      </c>
      <c r="B370" s="39">
        <f>IF($J370="","",INDEX(Tarifa!$A$13:$A$512,$J370)&amp;"")</f>
        <v/>
      </c>
      <c r="C370" s="39">
        <f>IF($J370="","",INDEX(Tarifa!$B$13:$B$512,$J370)&amp;"")</f>
        <v/>
      </c>
      <c r="D370" s="39">
        <f>IF($J370="","",INDEX(Tarifa!$C$13:$C$512,$J370)&amp;"")</f>
        <v/>
      </c>
      <c r="E370" s="40">
        <f>IF($J370="","",IF(INDEX(Tarifa!$D$13:$D$512,$J370)="","",INDEX(Tarifa!$D$13:$D$512,$J370)))</f>
        <v/>
      </c>
      <c r="F370" s="41">
        <f>IF(OR($J370="",$J$1=""),"",IF(INDEX(Tarifa!$G$13:$G$512,$J370)="","",IF(NOT(ISNUMBER(INDEX(Tarifa!$G$13:$G$512,$J370))),"Revisa",IF($J$1=1,INDEX(Tarifa!$G$13:$G$512,$J370),ROUND(ROUND(INDEX(Tarifa!$G$13:$G$512,$J370)*(1+$J$2/100)/$J$3,0)*$J$3,2)))))</f>
        <v/>
      </c>
      <c r="G370" s="42">
        <f>IF(OR(NOT(ISNUMBER(F370)),N(E370)&lt;=1),"",ROUND(F370/E370,3))</f>
        <v/>
      </c>
      <c r="H370" s="43">
        <f>IF($J370="","",IF(INDEX(Tarifa!$H$13:$H$512,$J370)="","",INDEX(Tarifa!$H$13:$H$512,$J370)))</f>
        <v/>
      </c>
      <c r="I370" s="41">
        <f>IF(OR($M$3="No",$M$3="",NOT(ISNUMBER(F370))),"",IF(NOT(ISNUMBER(H370)),"Falta IVA",ROUND(F370*(1+(H370+IF($M$3="Con IVA y recargo",IF(H370=21,5.2,IF(H370=10,1.4,IF(H370=4,0.5,0))),0))/100),2)))</f>
        <v/>
      </c>
      <c r="J370">
        <f>IFERROR(MATCH(360,Tarifa!$O$13:$O$512,0),"")</f>
        <v/>
      </c>
    </row>
    <row r="371" ht="17" customHeight="1">
      <c r="A371" s="38">
        <f>IF($J371="","",IFERROR(IF(INDEX(Tarifa!$E$13:$E$512,$J371)&amp;""=INDEX(Tarifa!$E$13:$E$512,$J370)&amp;"","",INDEX(Tarifa!$E$13:$E$512,$J371)&amp;""),""))</f>
        <v/>
      </c>
      <c r="B371" s="39">
        <f>IF($J371="","",INDEX(Tarifa!$A$13:$A$512,$J371)&amp;"")</f>
        <v/>
      </c>
      <c r="C371" s="39">
        <f>IF($J371="","",INDEX(Tarifa!$B$13:$B$512,$J371)&amp;"")</f>
        <v/>
      </c>
      <c r="D371" s="39">
        <f>IF($J371="","",INDEX(Tarifa!$C$13:$C$512,$J371)&amp;"")</f>
        <v/>
      </c>
      <c r="E371" s="40">
        <f>IF($J371="","",IF(INDEX(Tarifa!$D$13:$D$512,$J371)="","",INDEX(Tarifa!$D$13:$D$512,$J371)))</f>
        <v/>
      </c>
      <c r="F371" s="41">
        <f>IF(OR($J371="",$J$1=""),"",IF(INDEX(Tarifa!$G$13:$G$512,$J371)="","",IF(NOT(ISNUMBER(INDEX(Tarifa!$G$13:$G$512,$J371))),"Revisa",IF($J$1=1,INDEX(Tarifa!$G$13:$G$512,$J371),ROUND(ROUND(INDEX(Tarifa!$G$13:$G$512,$J371)*(1+$J$2/100)/$J$3,0)*$J$3,2)))))</f>
        <v/>
      </c>
      <c r="G371" s="42">
        <f>IF(OR(NOT(ISNUMBER(F371)),N(E371)&lt;=1),"",ROUND(F371/E371,3))</f>
        <v/>
      </c>
      <c r="H371" s="43">
        <f>IF($J371="","",IF(INDEX(Tarifa!$H$13:$H$512,$J371)="","",INDEX(Tarifa!$H$13:$H$512,$J371)))</f>
        <v/>
      </c>
      <c r="I371" s="41">
        <f>IF(OR($M$3="No",$M$3="",NOT(ISNUMBER(F371))),"",IF(NOT(ISNUMBER(H371)),"Falta IVA",ROUND(F371*(1+(H371+IF($M$3="Con IVA y recargo",IF(H371=21,5.2,IF(H371=10,1.4,IF(H371=4,0.5,0))),0))/100),2)))</f>
        <v/>
      </c>
      <c r="J371">
        <f>IFERROR(MATCH(361,Tarifa!$O$13:$O$512,0),"")</f>
        <v/>
      </c>
    </row>
    <row r="372" ht="17" customHeight="1">
      <c r="A372" s="38">
        <f>IF($J372="","",IFERROR(IF(INDEX(Tarifa!$E$13:$E$512,$J372)&amp;""=INDEX(Tarifa!$E$13:$E$512,$J371)&amp;"","",INDEX(Tarifa!$E$13:$E$512,$J372)&amp;""),""))</f>
        <v/>
      </c>
      <c r="B372" s="39">
        <f>IF($J372="","",INDEX(Tarifa!$A$13:$A$512,$J372)&amp;"")</f>
        <v/>
      </c>
      <c r="C372" s="39">
        <f>IF($J372="","",INDEX(Tarifa!$B$13:$B$512,$J372)&amp;"")</f>
        <v/>
      </c>
      <c r="D372" s="39">
        <f>IF($J372="","",INDEX(Tarifa!$C$13:$C$512,$J372)&amp;"")</f>
        <v/>
      </c>
      <c r="E372" s="40">
        <f>IF($J372="","",IF(INDEX(Tarifa!$D$13:$D$512,$J372)="","",INDEX(Tarifa!$D$13:$D$512,$J372)))</f>
        <v/>
      </c>
      <c r="F372" s="41">
        <f>IF(OR($J372="",$J$1=""),"",IF(INDEX(Tarifa!$G$13:$G$512,$J372)="","",IF(NOT(ISNUMBER(INDEX(Tarifa!$G$13:$G$512,$J372))),"Revisa",IF($J$1=1,INDEX(Tarifa!$G$13:$G$512,$J372),ROUND(ROUND(INDEX(Tarifa!$G$13:$G$512,$J372)*(1+$J$2/100)/$J$3,0)*$J$3,2)))))</f>
        <v/>
      </c>
      <c r="G372" s="42">
        <f>IF(OR(NOT(ISNUMBER(F372)),N(E372)&lt;=1),"",ROUND(F372/E372,3))</f>
        <v/>
      </c>
      <c r="H372" s="43">
        <f>IF($J372="","",IF(INDEX(Tarifa!$H$13:$H$512,$J372)="","",INDEX(Tarifa!$H$13:$H$512,$J372)))</f>
        <v/>
      </c>
      <c r="I372" s="41">
        <f>IF(OR($M$3="No",$M$3="",NOT(ISNUMBER(F372))),"",IF(NOT(ISNUMBER(H372)),"Falta IVA",ROUND(F372*(1+(H372+IF($M$3="Con IVA y recargo",IF(H372=21,5.2,IF(H372=10,1.4,IF(H372=4,0.5,0))),0))/100),2)))</f>
        <v/>
      </c>
      <c r="J372">
        <f>IFERROR(MATCH(362,Tarifa!$O$13:$O$512,0),"")</f>
        <v/>
      </c>
    </row>
    <row r="373" ht="17" customHeight="1">
      <c r="A373" s="38">
        <f>IF($J373="","",IFERROR(IF(INDEX(Tarifa!$E$13:$E$512,$J373)&amp;""=INDEX(Tarifa!$E$13:$E$512,$J372)&amp;"","",INDEX(Tarifa!$E$13:$E$512,$J373)&amp;""),""))</f>
        <v/>
      </c>
      <c r="B373" s="39">
        <f>IF($J373="","",INDEX(Tarifa!$A$13:$A$512,$J373)&amp;"")</f>
        <v/>
      </c>
      <c r="C373" s="39">
        <f>IF($J373="","",INDEX(Tarifa!$B$13:$B$512,$J373)&amp;"")</f>
        <v/>
      </c>
      <c r="D373" s="39">
        <f>IF($J373="","",INDEX(Tarifa!$C$13:$C$512,$J373)&amp;"")</f>
        <v/>
      </c>
      <c r="E373" s="40">
        <f>IF($J373="","",IF(INDEX(Tarifa!$D$13:$D$512,$J373)="","",INDEX(Tarifa!$D$13:$D$512,$J373)))</f>
        <v/>
      </c>
      <c r="F373" s="41">
        <f>IF(OR($J373="",$J$1=""),"",IF(INDEX(Tarifa!$G$13:$G$512,$J373)="","",IF(NOT(ISNUMBER(INDEX(Tarifa!$G$13:$G$512,$J373))),"Revisa",IF($J$1=1,INDEX(Tarifa!$G$13:$G$512,$J373),ROUND(ROUND(INDEX(Tarifa!$G$13:$G$512,$J373)*(1+$J$2/100)/$J$3,0)*$J$3,2)))))</f>
        <v/>
      </c>
      <c r="G373" s="42">
        <f>IF(OR(NOT(ISNUMBER(F373)),N(E373)&lt;=1),"",ROUND(F373/E373,3))</f>
        <v/>
      </c>
      <c r="H373" s="43">
        <f>IF($J373="","",IF(INDEX(Tarifa!$H$13:$H$512,$J373)="","",INDEX(Tarifa!$H$13:$H$512,$J373)))</f>
        <v/>
      </c>
      <c r="I373" s="41">
        <f>IF(OR($M$3="No",$M$3="",NOT(ISNUMBER(F373))),"",IF(NOT(ISNUMBER(H373)),"Falta IVA",ROUND(F373*(1+(H373+IF($M$3="Con IVA y recargo",IF(H373=21,5.2,IF(H373=10,1.4,IF(H373=4,0.5,0))),0))/100),2)))</f>
        <v/>
      </c>
      <c r="J373">
        <f>IFERROR(MATCH(363,Tarifa!$O$13:$O$512,0),"")</f>
        <v/>
      </c>
    </row>
    <row r="374" ht="17" customHeight="1">
      <c r="A374" s="38">
        <f>IF($J374="","",IFERROR(IF(INDEX(Tarifa!$E$13:$E$512,$J374)&amp;""=INDEX(Tarifa!$E$13:$E$512,$J373)&amp;"","",INDEX(Tarifa!$E$13:$E$512,$J374)&amp;""),""))</f>
        <v/>
      </c>
      <c r="B374" s="39">
        <f>IF($J374="","",INDEX(Tarifa!$A$13:$A$512,$J374)&amp;"")</f>
        <v/>
      </c>
      <c r="C374" s="39">
        <f>IF($J374="","",INDEX(Tarifa!$B$13:$B$512,$J374)&amp;"")</f>
        <v/>
      </c>
      <c r="D374" s="39">
        <f>IF($J374="","",INDEX(Tarifa!$C$13:$C$512,$J374)&amp;"")</f>
        <v/>
      </c>
      <c r="E374" s="40">
        <f>IF($J374="","",IF(INDEX(Tarifa!$D$13:$D$512,$J374)="","",INDEX(Tarifa!$D$13:$D$512,$J374)))</f>
        <v/>
      </c>
      <c r="F374" s="41">
        <f>IF(OR($J374="",$J$1=""),"",IF(INDEX(Tarifa!$G$13:$G$512,$J374)="","",IF(NOT(ISNUMBER(INDEX(Tarifa!$G$13:$G$512,$J374))),"Revisa",IF($J$1=1,INDEX(Tarifa!$G$13:$G$512,$J374),ROUND(ROUND(INDEX(Tarifa!$G$13:$G$512,$J374)*(1+$J$2/100)/$J$3,0)*$J$3,2)))))</f>
        <v/>
      </c>
      <c r="G374" s="42">
        <f>IF(OR(NOT(ISNUMBER(F374)),N(E374)&lt;=1),"",ROUND(F374/E374,3))</f>
        <v/>
      </c>
      <c r="H374" s="43">
        <f>IF($J374="","",IF(INDEX(Tarifa!$H$13:$H$512,$J374)="","",INDEX(Tarifa!$H$13:$H$512,$J374)))</f>
        <v/>
      </c>
      <c r="I374" s="41">
        <f>IF(OR($M$3="No",$M$3="",NOT(ISNUMBER(F374))),"",IF(NOT(ISNUMBER(H374)),"Falta IVA",ROUND(F374*(1+(H374+IF($M$3="Con IVA y recargo",IF(H374=21,5.2,IF(H374=10,1.4,IF(H374=4,0.5,0))),0))/100),2)))</f>
        <v/>
      </c>
      <c r="J374">
        <f>IFERROR(MATCH(364,Tarifa!$O$13:$O$512,0),"")</f>
        <v/>
      </c>
    </row>
    <row r="375" ht="17" customHeight="1">
      <c r="A375" s="38">
        <f>IF($J375="","",IFERROR(IF(INDEX(Tarifa!$E$13:$E$512,$J375)&amp;""=INDEX(Tarifa!$E$13:$E$512,$J374)&amp;"","",INDEX(Tarifa!$E$13:$E$512,$J375)&amp;""),""))</f>
        <v/>
      </c>
      <c r="B375" s="39">
        <f>IF($J375="","",INDEX(Tarifa!$A$13:$A$512,$J375)&amp;"")</f>
        <v/>
      </c>
      <c r="C375" s="39">
        <f>IF($J375="","",INDEX(Tarifa!$B$13:$B$512,$J375)&amp;"")</f>
        <v/>
      </c>
      <c r="D375" s="39">
        <f>IF($J375="","",INDEX(Tarifa!$C$13:$C$512,$J375)&amp;"")</f>
        <v/>
      </c>
      <c r="E375" s="40">
        <f>IF($J375="","",IF(INDEX(Tarifa!$D$13:$D$512,$J375)="","",INDEX(Tarifa!$D$13:$D$512,$J375)))</f>
        <v/>
      </c>
      <c r="F375" s="41">
        <f>IF(OR($J375="",$J$1=""),"",IF(INDEX(Tarifa!$G$13:$G$512,$J375)="","",IF(NOT(ISNUMBER(INDEX(Tarifa!$G$13:$G$512,$J375))),"Revisa",IF($J$1=1,INDEX(Tarifa!$G$13:$G$512,$J375),ROUND(ROUND(INDEX(Tarifa!$G$13:$G$512,$J375)*(1+$J$2/100)/$J$3,0)*$J$3,2)))))</f>
        <v/>
      </c>
      <c r="G375" s="42">
        <f>IF(OR(NOT(ISNUMBER(F375)),N(E375)&lt;=1),"",ROUND(F375/E375,3))</f>
        <v/>
      </c>
      <c r="H375" s="43">
        <f>IF($J375="","",IF(INDEX(Tarifa!$H$13:$H$512,$J375)="","",INDEX(Tarifa!$H$13:$H$512,$J375)))</f>
        <v/>
      </c>
      <c r="I375" s="41">
        <f>IF(OR($M$3="No",$M$3="",NOT(ISNUMBER(F375))),"",IF(NOT(ISNUMBER(H375)),"Falta IVA",ROUND(F375*(1+(H375+IF($M$3="Con IVA y recargo",IF(H375=21,5.2,IF(H375=10,1.4,IF(H375=4,0.5,0))),0))/100),2)))</f>
        <v/>
      </c>
      <c r="J375">
        <f>IFERROR(MATCH(365,Tarifa!$O$13:$O$512,0),"")</f>
        <v/>
      </c>
    </row>
    <row r="376" ht="17" customHeight="1">
      <c r="A376" s="38">
        <f>IF($J376="","",IFERROR(IF(INDEX(Tarifa!$E$13:$E$512,$J376)&amp;""=INDEX(Tarifa!$E$13:$E$512,$J375)&amp;"","",INDEX(Tarifa!$E$13:$E$512,$J376)&amp;""),""))</f>
        <v/>
      </c>
      <c r="B376" s="39">
        <f>IF($J376="","",INDEX(Tarifa!$A$13:$A$512,$J376)&amp;"")</f>
        <v/>
      </c>
      <c r="C376" s="39">
        <f>IF($J376="","",INDEX(Tarifa!$B$13:$B$512,$J376)&amp;"")</f>
        <v/>
      </c>
      <c r="D376" s="39">
        <f>IF($J376="","",INDEX(Tarifa!$C$13:$C$512,$J376)&amp;"")</f>
        <v/>
      </c>
      <c r="E376" s="40">
        <f>IF($J376="","",IF(INDEX(Tarifa!$D$13:$D$512,$J376)="","",INDEX(Tarifa!$D$13:$D$512,$J376)))</f>
        <v/>
      </c>
      <c r="F376" s="41">
        <f>IF(OR($J376="",$J$1=""),"",IF(INDEX(Tarifa!$G$13:$G$512,$J376)="","",IF(NOT(ISNUMBER(INDEX(Tarifa!$G$13:$G$512,$J376))),"Revisa",IF($J$1=1,INDEX(Tarifa!$G$13:$G$512,$J376),ROUND(ROUND(INDEX(Tarifa!$G$13:$G$512,$J376)*(1+$J$2/100)/$J$3,0)*$J$3,2)))))</f>
        <v/>
      </c>
      <c r="G376" s="42">
        <f>IF(OR(NOT(ISNUMBER(F376)),N(E376)&lt;=1),"",ROUND(F376/E376,3))</f>
        <v/>
      </c>
      <c r="H376" s="43">
        <f>IF($J376="","",IF(INDEX(Tarifa!$H$13:$H$512,$J376)="","",INDEX(Tarifa!$H$13:$H$512,$J376)))</f>
        <v/>
      </c>
      <c r="I376" s="41">
        <f>IF(OR($M$3="No",$M$3="",NOT(ISNUMBER(F376))),"",IF(NOT(ISNUMBER(H376)),"Falta IVA",ROUND(F376*(1+(H376+IF($M$3="Con IVA y recargo",IF(H376=21,5.2,IF(H376=10,1.4,IF(H376=4,0.5,0))),0))/100),2)))</f>
        <v/>
      </c>
      <c r="J376">
        <f>IFERROR(MATCH(366,Tarifa!$O$13:$O$512,0),"")</f>
        <v/>
      </c>
    </row>
    <row r="377" ht="17" customHeight="1">
      <c r="A377" s="38">
        <f>IF($J377="","",IFERROR(IF(INDEX(Tarifa!$E$13:$E$512,$J377)&amp;""=INDEX(Tarifa!$E$13:$E$512,$J376)&amp;"","",INDEX(Tarifa!$E$13:$E$512,$J377)&amp;""),""))</f>
        <v/>
      </c>
      <c r="B377" s="39">
        <f>IF($J377="","",INDEX(Tarifa!$A$13:$A$512,$J377)&amp;"")</f>
        <v/>
      </c>
      <c r="C377" s="39">
        <f>IF($J377="","",INDEX(Tarifa!$B$13:$B$512,$J377)&amp;"")</f>
        <v/>
      </c>
      <c r="D377" s="39">
        <f>IF($J377="","",INDEX(Tarifa!$C$13:$C$512,$J377)&amp;"")</f>
        <v/>
      </c>
      <c r="E377" s="40">
        <f>IF($J377="","",IF(INDEX(Tarifa!$D$13:$D$512,$J377)="","",INDEX(Tarifa!$D$13:$D$512,$J377)))</f>
        <v/>
      </c>
      <c r="F377" s="41">
        <f>IF(OR($J377="",$J$1=""),"",IF(INDEX(Tarifa!$G$13:$G$512,$J377)="","",IF(NOT(ISNUMBER(INDEX(Tarifa!$G$13:$G$512,$J377))),"Revisa",IF($J$1=1,INDEX(Tarifa!$G$13:$G$512,$J377),ROUND(ROUND(INDEX(Tarifa!$G$13:$G$512,$J377)*(1+$J$2/100)/$J$3,0)*$J$3,2)))))</f>
        <v/>
      </c>
      <c r="G377" s="42">
        <f>IF(OR(NOT(ISNUMBER(F377)),N(E377)&lt;=1),"",ROUND(F377/E377,3))</f>
        <v/>
      </c>
      <c r="H377" s="43">
        <f>IF($J377="","",IF(INDEX(Tarifa!$H$13:$H$512,$J377)="","",INDEX(Tarifa!$H$13:$H$512,$J377)))</f>
        <v/>
      </c>
      <c r="I377" s="41">
        <f>IF(OR($M$3="No",$M$3="",NOT(ISNUMBER(F377))),"",IF(NOT(ISNUMBER(H377)),"Falta IVA",ROUND(F377*(1+(H377+IF($M$3="Con IVA y recargo",IF(H377=21,5.2,IF(H377=10,1.4,IF(H377=4,0.5,0))),0))/100),2)))</f>
        <v/>
      </c>
      <c r="J377">
        <f>IFERROR(MATCH(367,Tarifa!$O$13:$O$512,0),"")</f>
        <v/>
      </c>
    </row>
    <row r="378" ht="17" customHeight="1">
      <c r="A378" s="38">
        <f>IF($J378="","",IFERROR(IF(INDEX(Tarifa!$E$13:$E$512,$J378)&amp;""=INDEX(Tarifa!$E$13:$E$512,$J377)&amp;"","",INDEX(Tarifa!$E$13:$E$512,$J378)&amp;""),""))</f>
        <v/>
      </c>
      <c r="B378" s="39">
        <f>IF($J378="","",INDEX(Tarifa!$A$13:$A$512,$J378)&amp;"")</f>
        <v/>
      </c>
      <c r="C378" s="39">
        <f>IF($J378="","",INDEX(Tarifa!$B$13:$B$512,$J378)&amp;"")</f>
        <v/>
      </c>
      <c r="D378" s="39">
        <f>IF($J378="","",INDEX(Tarifa!$C$13:$C$512,$J378)&amp;"")</f>
        <v/>
      </c>
      <c r="E378" s="40">
        <f>IF($J378="","",IF(INDEX(Tarifa!$D$13:$D$512,$J378)="","",INDEX(Tarifa!$D$13:$D$512,$J378)))</f>
        <v/>
      </c>
      <c r="F378" s="41">
        <f>IF(OR($J378="",$J$1=""),"",IF(INDEX(Tarifa!$G$13:$G$512,$J378)="","",IF(NOT(ISNUMBER(INDEX(Tarifa!$G$13:$G$512,$J378))),"Revisa",IF($J$1=1,INDEX(Tarifa!$G$13:$G$512,$J378),ROUND(ROUND(INDEX(Tarifa!$G$13:$G$512,$J378)*(1+$J$2/100)/$J$3,0)*$J$3,2)))))</f>
        <v/>
      </c>
      <c r="G378" s="42">
        <f>IF(OR(NOT(ISNUMBER(F378)),N(E378)&lt;=1),"",ROUND(F378/E378,3))</f>
        <v/>
      </c>
      <c r="H378" s="43">
        <f>IF($J378="","",IF(INDEX(Tarifa!$H$13:$H$512,$J378)="","",INDEX(Tarifa!$H$13:$H$512,$J378)))</f>
        <v/>
      </c>
      <c r="I378" s="41">
        <f>IF(OR($M$3="No",$M$3="",NOT(ISNUMBER(F378))),"",IF(NOT(ISNUMBER(H378)),"Falta IVA",ROUND(F378*(1+(H378+IF($M$3="Con IVA y recargo",IF(H378=21,5.2,IF(H378=10,1.4,IF(H378=4,0.5,0))),0))/100),2)))</f>
        <v/>
      </c>
      <c r="J378">
        <f>IFERROR(MATCH(368,Tarifa!$O$13:$O$512,0),"")</f>
        <v/>
      </c>
    </row>
    <row r="379" ht="17" customHeight="1">
      <c r="A379" s="38">
        <f>IF($J379="","",IFERROR(IF(INDEX(Tarifa!$E$13:$E$512,$J379)&amp;""=INDEX(Tarifa!$E$13:$E$512,$J378)&amp;"","",INDEX(Tarifa!$E$13:$E$512,$J379)&amp;""),""))</f>
        <v/>
      </c>
      <c r="B379" s="39">
        <f>IF($J379="","",INDEX(Tarifa!$A$13:$A$512,$J379)&amp;"")</f>
        <v/>
      </c>
      <c r="C379" s="39">
        <f>IF($J379="","",INDEX(Tarifa!$B$13:$B$512,$J379)&amp;"")</f>
        <v/>
      </c>
      <c r="D379" s="39">
        <f>IF($J379="","",INDEX(Tarifa!$C$13:$C$512,$J379)&amp;"")</f>
        <v/>
      </c>
      <c r="E379" s="40">
        <f>IF($J379="","",IF(INDEX(Tarifa!$D$13:$D$512,$J379)="","",INDEX(Tarifa!$D$13:$D$512,$J379)))</f>
        <v/>
      </c>
      <c r="F379" s="41">
        <f>IF(OR($J379="",$J$1=""),"",IF(INDEX(Tarifa!$G$13:$G$512,$J379)="","",IF(NOT(ISNUMBER(INDEX(Tarifa!$G$13:$G$512,$J379))),"Revisa",IF($J$1=1,INDEX(Tarifa!$G$13:$G$512,$J379),ROUND(ROUND(INDEX(Tarifa!$G$13:$G$512,$J379)*(1+$J$2/100)/$J$3,0)*$J$3,2)))))</f>
        <v/>
      </c>
      <c r="G379" s="42">
        <f>IF(OR(NOT(ISNUMBER(F379)),N(E379)&lt;=1),"",ROUND(F379/E379,3))</f>
        <v/>
      </c>
      <c r="H379" s="43">
        <f>IF($J379="","",IF(INDEX(Tarifa!$H$13:$H$512,$J379)="","",INDEX(Tarifa!$H$13:$H$512,$J379)))</f>
        <v/>
      </c>
      <c r="I379" s="41">
        <f>IF(OR($M$3="No",$M$3="",NOT(ISNUMBER(F379))),"",IF(NOT(ISNUMBER(H379)),"Falta IVA",ROUND(F379*(1+(H379+IF($M$3="Con IVA y recargo",IF(H379=21,5.2,IF(H379=10,1.4,IF(H379=4,0.5,0))),0))/100),2)))</f>
        <v/>
      </c>
      <c r="J379">
        <f>IFERROR(MATCH(369,Tarifa!$O$13:$O$512,0),"")</f>
        <v/>
      </c>
    </row>
    <row r="380" ht="17" customHeight="1">
      <c r="A380" s="38">
        <f>IF($J380="","",IFERROR(IF(INDEX(Tarifa!$E$13:$E$512,$J380)&amp;""=INDEX(Tarifa!$E$13:$E$512,$J379)&amp;"","",INDEX(Tarifa!$E$13:$E$512,$J380)&amp;""),""))</f>
        <v/>
      </c>
      <c r="B380" s="39">
        <f>IF($J380="","",INDEX(Tarifa!$A$13:$A$512,$J380)&amp;"")</f>
        <v/>
      </c>
      <c r="C380" s="39">
        <f>IF($J380="","",INDEX(Tarifa!$B$13:$B$512,$J380)&amp;"")</f>
        <v/>
      </c>
      <c r="D380" s="39">
        <f>IF($J380="","",INDEX(Tarifa!$C$13:$C$512,$J380)&amp;"")</f>
        <v/>
      </c>
      <c r="E380" s="40">
        <f>IF($J380="","",IF(INDEX(Tarifa!$D$13:$D$512,$J380)="","",INDEX(Tarifa!$D$13:$D$512,$J380)))</f>
        <v/>
      </c>
      <c r="F380" s="41">
        <f>IF(OR($J380="",$J$1=""),"",IF(INDEX(Tarifa!$G$13:$G$512,$J380)="","",IF(NOT(ISNUMBER(INDEX(Tarifa!$G$13:$G$512,$J380))),"Revisa",IF($J$1=1,INDEX(Tarifa!$G$13:$G$512,$J380),ROUND(ROUND(INDEX(Tarifa!$G$13:$G$512,$J380)*(1+$J$2/100)/$J$3,0)*$J$3,2)))))</f>
        <v/>
      </c>
      <c r="G380" s="42">
        <f>IF(OR(NOT(ISNUMBER(F380)),N(E380)&lt;=1),"",ROUND(F380/E380,3))</f>
        <v/>
      </c>
      <c r="H380" s="43">
        <f>IF($J380="","",IF(INDEX(Tarifa!$H$13:$H$512,$J380)="","",INDEX(Tarifa!$H$13:$H$512,$J380)))</f>
        <v/>
      </c>
      <c r="I380" s="41">
        <f>IF(OR($M$3="No",$M$3="",NOT(ISNUMBER(F380))),"",IF(NOT(ISNUMBER(H380)),"Falta IVA",ROUND(F380*(1+(H380+IF($M$3="Con IVA y recargo",IF(H380=21,5.2,IF(H380=10,1.4,IF(H380=4,0.5,0))),0))/100),2)))</f>
        <v/>
      </c>
      <c r="J380">
        <f>IFERROR(MATCH(370,Tarifa!$O$13:$O$512,0),"")</f>
        <v/>
      </c>
    </row>
    <row r="381" ht="17" customHeight="1">
      <c r="A381" s="38">
        <f>IF($J381="","",IFERROR(IF(INDEX(Tarifa!$E$13:$E$512,$J381)&amp;""=INDEX(Tarifa!$E$13:$E$512,$J380)&amp;"","",INDEX(Tarifa!$E$13:$E$512,$J381)&amp;""),""))</f>
        <v/>
      </c>
      <c r="B381" s="39">
        <f>IF($J381="","",INDEX(Tarifa!$A$13:$A$512,$J381)&amp;"")</f>
        <v/>
      </c>
      <c r="C381" s="39">
        <f>IF($J381="","",INDEX(Tarifa!$B$13:$B$512,$J381)&amp;"")</f>
        <v/>
      </c>
      <c r="D381" s="39">
        <f>IF($J381="","",INDEX(Tarifa!$C$13:$C$512,$J381)&amp;"")</f>
        <v/>
      </c>
      <c r="E381" s="40">
        <f>IF($J381="","",IF(INDEX(Tarifa!$D$13:$D$512,$J381)="","",INDEX(Tarifa!$D$13:$D$512,$J381)))</f>
        <v/>
      </c>
      <c r="F381" s="41">
        <f>IF(OR($J381="",$J$1=""),"",IF(INDEX(Tarifa!$G$13:$G$512,$J381)="","",IF(NOT(ISNUMBER(INDEX(Tarifa!$G$13:$G$512,$J381))),"Revisa",IF($J$1=1,INDEX(Tarifa!$G$13:$G$512,$J381),ROUND(ROUND(INDEX(Tarifa!$G$13:$G$512,$J381)*(1+$J$2/100)/$J$3,0)*$J$3,2)))))</f>
        <v/>
      </c>
      <c r="G381" s="42">
        <f>IF(OR(NOT(ISNUMBER(F381)),N(E381)&lt;=1),"",ROUND(F381/E381,3))</f>
        <v/>
      </c>
      <c r="H381" s="43">
        <f>IF($J381="","",IF(INDEX(Tarifa!$H$13:$H$512,$J381)="","",INDEX(Tarifa!$H$13:$H$512,$J381)))</f>
        <v/>
      </c>
      <c r="I381" s="41">
        <f>IF(OR($M$3="No",$M$3="",NOT(ISNUMBER(F381))),"",IF(NOT(ISNUMBER(H381)),"Falta IVA",ROUND(F381*(1+(H381+IF($M$3="Con IVA y recargo",IF(H381=21,5.2,IF(H381=10,1.4,IF(H381=4,0.5,0))),0))/100),2)))</f>
        <v/>
      </c>
      <c r="J381">
        <f>IFERROR(MATCH(371,Tarifa!$O$13:$O$512,0),"")</f>
        <v/>
      </c>
    </row>
    <row r="382" ht="17" customHeight="1">
      <c r="A382" s="38">
        <f>IF($J382="","",IFERROR(IF(INDEX(Tarifa!$E$13:$E$512,$J382)&amp;""=INDEX(Tarifa!$E$13:$E$512,$J381)&amp;"","",INDEX(Tarifa!$E$13:$E$512,$J382)&amp;""),""))</f>
        <v/>
      </c>
      <c r="B382" s="39">
        <f>IF($J382="","",INDEX(Tarifa!$A$13:$A$512,$J382)&amp;"")</f>
        <v/>
      </c>
      <c r="C382" s="39">
        <f>IF($J382="","",INDEX(Tarifa!$B$13:$B$512,$J382)&amp;"")</f>
        <v/>
      </c>
      <c r="D382" s="39">
        <f>IF($J382="","",INDEX(Tarifa!$C$13:$C$512,$J382)&amp;"")</f>
        <v/>
      </c>
      <c r="E382" s="40">
        <f>IF($J382="","",IF(INDEX(Tarifa!$D$13:$D$512,$J382)="","",INDEX(Tarifa!$D$13:$D$512,$J382)))</f>
        <v/>
      </c>
      <c r="F382" s="41">
        <f>IF(OR($J382="",$J$1=""),"",IF(INDEX(Tarifa!$G$13:$G$512,$J382)="","",IF(NOT(ISNUMBER(INDEX(Tarifa!$G$13:$G$512,$J382))),"Revisa",IF($J$1=1,INDEX(Tarifa!$G$13:$G$512,$J382),ROUND(ROUND(INDEX(Tarifa!$G$13:$G$512,$J382)*(1+$J$2/100)/$J$3,0)*$J$3,2)))))</f>
        <v/>
      </c>
      <c r="G382" s="42">
        <f>IF(OR(NOT(ISNUMBER(F382)),N(E382)&lt;=1),"",ROUND(F382/E382,3))</f>
        <v/>
      </c>
      <c r="H382" s="43">
        <f>IF($J382="","",IF(INDEX(Tarifa!$H$13:$H$512,$J382)="","",INDEX(Tarifa!$H$13:$H$512,$J382)))</f>
        <v/>
      </c>
      <c r="I382" s="41">
        <f>IF(OR($M$3="No",$M$3="",NOT(ISNUMBER(F382))),"",IF(NOT(ISNUMBER(H382)),"Falta IVA",ROUND(F382*(1+(H382+IF($M$3="Con IVA y recargo",IF(H382=21,5.2,IF(H382=10,1.4,IF(H382=4,0.5,0))),0))/100),2)))</f>
        <v/>
      </c>
      <c r="J382">
        <f>IFERROR(MATCH(372,Tarifa!$O$13:$O$512,0),"")</f>
        <v/>
      </c>
    </row>
    <row r="383" ht="17" customHeight="1">
      <c r="A383" s="38">
        <f>IF($J383="","",IFERROR(IF(INDEX(Tarifa!$E$13:$E$512,$J383)&amp;""=INDEX(Tarifa!$E$13:$E$512,$J382)&amp;"","",INDEX(Tarifa!$E$13:$E$512,$J383)&amp;""),""))</f>
        <v/>
      </c>
      <c r="B383" s="39">
        <f>IF($J383="","",INDEX(Tarifa!$A$13:$A$512,$J383)&amp;"")</f>
        <v/>
      </c>
      <c r="C383" s="39">
        <f>IF($J383="","",INDEX(Tarifa!$B$13:$B$512,$J383)&amp;"")</f>
        <v/>
      </c>
      <c r="D383" s="39">
        <f>IF($J383="","",INDEX(Tarifa!$C$13:$C$512,$J383)&amp;"")</f>
        <v/>
      </c>
      <c r="E383" s="40">
        <f>IF($J383="","",IF(INDEX(Tarifa!$D$13:$D$512,$J383)="","",INDEX(Tarifa!$D$13:$D$512,$J383)))</f>
        <v/>
      </c>
      <c r="F383" s="41">
        <f>IF(OR($J383="",$J$1=""),"",IF(INDEX(Tarifa!$G$13:$G$512,$J383)="","",IF(NOT(ISNUMBER(INDEX(Tarifa!$G$13:$G$512,$J383))),"Revisa",IF($J$1=1,INDEX(Tarifa!$G$13:$G$512,$J383),ROUND(ROUND(INDEX(Tarifa!$G$13:$G$512,$J383)*(1+$J$2/100)/$J$3,0)*$J$3,2)))))</f>
        <v/>
      </c>
      <c r="G383" s="42">
        <f>IF(OR(NOT(ISNUMBER(F383)),N(E383)&lt;=1),"",ROUND(F383/E383,3))</f>
        <v/>
      </c>
      <c r="H383" s="43">
        <f>IF($J383="","",IF(INDEX(Tarifa!$H$13:$H$512,$J383)="","",INDEX(Tarifa!$H$13:$H$512,$J383)))</f>
        <v/>
      </c>
      <c r="I383" s="41">
        <f>IF(OR($M$3="No",$M$3="",NOT(ISNUMBER(F383))),"",IF(NOT(ISNUMBER(H383)),"Falta IVA",ROUND(F383*(1+(H383+IF($M$3="Con IVA y recargo",IF(H383=21,5.2,IF(H383=10,1.4,IF(H383=4,0.5,0))),0))/100),2)))</f>
        <v/>
      </c>
      <c r="J383">
        <f>IFERROR(MATCH(373,Tarifa!$O$13:$O$512,0),"")</f>
        <v/>
      </c>
    </row>
    <row r="384" ht="17" customHeight="1">
      <c r="A384" s="38">
        <f>IF($J384="","",IFERROR(IF(INDEX(Tarifa!$E$13:$E$512,$J384)&amp;""=INDEX(Tarifa!$E$13:$E$512,$J383)&amp;"","",INDEX(Tarifa!$E$13:$E$512,$J384)&amp;""),""))</f>
        <v/>
      </c>
      <c r="B384" s="39">
        <f>IF($J384="","",INDEX(Tarifa!$A$13:$A$512,$J384)&amp;"")</f>
        <v/>
      </c>
      <c r="C384" s="39">
        <f>IF($J384="","",INDEX(Tarifa!$B$13:$B$512,$J384)&amp;"")</f>
        <v/>
      </c>
      <c r="D384" s="39">
        <f>IF($J384="","",INDEX(Tarifa!$C$13:$C$512,$J384)&amp;"")</f>
        <v/>
      </c>
      <c r="E384" s="40">
        <f>IF($J384="","",IF(INDEX(Tarifa!$D$13:$D$512,$J384)="","",INDEX(Tarifa!$D$13:$D$512,$J384)))</f>
        <v/>
      </c>
      <c r="F384" s="41">
        <f>IF(OR($J384="",$J$1=""),"",IF(INDEX(Tarifa!$G$13:$G$512,$J384)="","",IF(NOT(ISNUMBER(INDEX(Tarifa!$G$13:$G$512,$J384))),"Revisa",IF($J$1=1,INDEX(Tarifa!$G$13:$G$512,$J384),ROUND(ROUND(INDEX(Tarifa!$G$13:$G$512,$J384)*(1+$J$2/100)/$J$3,0)*$J$3,2)))))</f>
        <v/>
      </c>
      <c r="G384" s="42">
        <f>IF(OR(NOT(ISNUMBER(F384)),N(E384)&lt;=1),"",ROUND(F384/E384,3))</f>
        <v/>
      </c>
      <c r="H384" s="43">
        <f>IF($J384="","",IF(INDEX(Tarifa!$H$13:$H$512,$J384)="","",INDEX(Tarifa!$H$13:$H$512,$J384)))</f>
        <v/>
      </c>
      <c r="I384" s="41">
        <f>IF(OR($M$3="No",$M$3="",NOT(ISNUMBER(F384))),"",IF(NOT(ISNUMBER(H384)),"Falta IVA",ROUND(F384*(1+(H384+IF($M$3="Con IVA y recargo",IF(H384=21,5.2,IF(H384=10,1.4,IF(H384=4,0.5,0))),0))/100),2)))</f>
        <v/>
      </c>
      <c r="J384">
        <f>IFERROR(MATCH(374,Tarifa!$O$13:$O$512,0),"")</f>
        <v/>
      </c>
    </row>
    <row r="385" ht="17" customHeight="1">
      <c r="A385" s="38">
        <f>IF($J385="","",IFERROR(IF(INDEX(Tarifa!$E$13:$E$512,$J385)&amp;""=INDEX(Tarifa!$E$13:$E$512,$J384)&amp;"","",INDEX(Tarifa!$E$13:$E$512,$J385)&amp;""),""))</f>
        <v/>
      </c>
      <c r="B385" s="39">
        <f>IF($J385="","",INDEX(Tarifa!$A$13:$A$512,$J385)&amp;"")</f>
        <v/>
      </c>
      <c r="C385" s="39">
        <f>IF($J385="","",INDEX(Tarifa!$B$13:$B$512,$J385)&amp;"")</f>
        <v/>
      </c>
      <c r="D385" s="39">
        <f>IF($J385="","",INDEX(Tarifa!$C$13:$C$512,$J385)&amp;"")</f>
        <v/>
      </c>
      <c r="E385" s="40">
        <f>IF($J385="","",IF(INDEX(Tarifa!$D$13:$D$512,$J385)="","",INDEX(Tarifa!$D$13:$D$512,$J385)))</f>
        <v/>
      </c>
      <c r="F385" s="41">
        <f>IF(OR($J385="",$J$1=""),"",IF(INDEX(Tarifa!$G$13:$G$512,$J385)="","",IF(NOT(ISNUMBER(INDEX(Tarifa!$G$13:$G$512,$J385))),"Revisa",IF($J$1=1,INDEX(Tarifa!$G$13:$G$512,$J385),ROUND(ROUND(INDEX(Tarifa!$G$13:$G$512,$J385)*(1+$J$2/100)/$J$3,0)*$J$3,2)))))</f>
        <v/>
      </c>
      <c r="G385" s="42">
        <f>IF(OR(NOT(ISNUMBER(F385)),N(E385)&lt;=1),"",ROUND(F385/E385,3))</f>
        <v/>
      </c>
      <c r="H385" s="43">
        <f>IF($J385="","",IF(INDEX(Tarifa!$H$13:$H$512,$J385)="","",INDEX(Tarifa!$H$13:$H$512,$J385)))</f>
        <v/>
      </c>
      <c r="I385" s="41">
        <f>IF(OR($M$3="No",$M$3="",NOT(ISNUMBER(F385))),"",IF(NOT(ISNUMBER(H385)),"Falta IVA",ROUND(F385*(1+(H385+IF($M$3="Con IVA y recargo",IF(H385=21,5.2,IF(H385=10,1.4,IF(H385=4,0.5,0))),0))/100),2)))</f>
        <v/>
      </c>
      <c r="J385">
        <f>IFERROR(MATCH(375,Tarifa!$O$13:$O$512,0),"")</f>
        <v/>
      </c>
    </row>
    <row r="386" ht="17" customHeight="1">
      <c r="A386" s="38">
        <f>IF($J386="","",IFERROR(IF(INDEX(Tarifa!$E$13:$E$512,$J386)&amp;""=INDEX(Tarifa!$E$13:$E$512,$J385)&amp;"","",INDEX(Tarifa!$E$13:$E$512,$J386)&amp;""),""))</f>
        <v/>
      </c>
      <c r="B386" s="39">
        <f>IF($J386="","",INDEX(Tarifa!$A$13:$A$512,$J386)&amp;"")</f>
        <v/>
      </c>
      <c r="C386" s="39">
        <f>IF($J386="","",INDEX(Tarifa!$B$13:$B$512,$J386)&amp;"")</f>
        <v/>
      </c>
      <c r="D386" s="39">
        <f>IF($J386="","",INDEX(Tarifa!$C$13:$C$512,$J386)&amp;"")</f>
        <v/>
      </c>
      <c r="E386" s="40">
        <f>IF($J386="","",IF(INDEX(Tarifa!$D$13:$D$512,$J386)="","",INDEX(Tarifa!$D$13:$D$512,$J386)))</f>
        <v/>
      </c>
      <c r="F386" s="41">
        <f>IF(OR($J386="",$J$1=""),"",IF(INDEX(Tarifa!$G$13:$G$512,$J386)="","",IF(NOT(ISNUMBER(INDEX(Tarifa!$G$13:$G$512,$J386))),"Revisa",IF($J$1=1,INDEX(Tarifa!$G$13:$G$512,$J386),ROUND(ROUND(INDEX(Tarifa!$G$13:$G$512,$J386)*(1+$J$2/100)/$J$3,0)*$J$3,2)))))</f>
        <v/>
      </c>
      <c r="G386" s="42">
        <f>IF(OR(NOT(ISNUMBER(F386)),N(E386)&lt;=1),"",ROUND(F386/E386,3))</f>
        <v/>
      </c>
      <c r="H386" s="43">
        <f>IF($J386="","",IF(INDEX(Tarifa!$H$13:$H$512,$J386)="","",INDEX(Tarifa!$H$13:$H$512,$J386)))</f>
        <v/>
      </c>
      <c r="I386" s="41">
        <f>IF(OR($M$3="No",$M$3="",NOT(ISNUMBER(F386))),"",IF(NOT(ISNUMBER(H386)),"Falta IVA",ROUND(F386*(1+(H386+IF($M$3="Con IVA y recargo",IF(H386=21,5.2,IF(H386=10,1.4,IF(H386=4,0.5,0))),0))/100),2)))</f>
        <v/>
      </c>
      <c r="J386">
        <f>IFERROR(MATCH(376,Tarifa!$O$13:$O$512,0),"")</f>
        <v/>
      </c>
    </row>
    <row r="387" ht="17" customHeight="1">
      <c r="A387" s="38">
        <f>IF($J387="","",IFERROR(IF(INDEX(Tarifa!$E$13:$E$512,$J387)&amp;""=INDEX(Tarifa!$E$13:$E$512,$J386)&amp;"","",INDEX(Tarifa!$E$13:$E$512,$J387)&amp;""),""))</f>
        <v/>
      </c>
      <c r="B387" s="39">
        <f>IF($J387="","",INDEX(Tarifa!$A$13:$A$512,$J387)&amp;"")</f>
        <v/>
      </c>
      <c r="C387" s="39">
        <f>IF($J387="","",INDEX(Tarifa!$B$13:$B$512,$J387)&amp;"")</f>
        <v/>
      </c>
      <c r="D387" s="39">
        <f>IF($J387="","",INDEX(Tarifa!$C$13:$C$512,$J387)&amp;"")</f>
        <v/>
      </c>
      <c r="E387" s="40">
        <f>IF($J387="","",IF(INDEX(Tarifa!$D$13:$D$512,$J387)="","",INDEX(Tarifa!$D$13:$D$512,$J387)))</f>
        <v/>
      </c>
      <c r="F387" s="41">
        <f>IF(OR($J387="",$J$1=""),"",IF(INDEX(Tarifa!$G$13:$G$512,$J387)="","",IF(NOT(ISNUMBER(INDEX(Tarifa!$G$13:$G$512,$J387))),"Revisa",IF($J$1=1,INDEX(Tarifa!$G$13:$G$512,$J387),ROUND(ROUND(INDEX(Tarifa!$G$13:$G$512,$J387)*(1+$J$2/100)/$J$3,0)*$J$3,2)))))</f>
        <v/>
      </c>
      <c r="G387" s="42">
        <f>IF(OR(NOT(ISNUMBER(F387)),N(E387)&lt;=1),"",ROUND(F387/E387,3))</f>
        <v/>
      </c>
      <c r="H387" s="43">
        <f>IF($J387="","",IF(INDEX(Tarifa!$H$13:$H$512,$J387)="","",INDEX(Tarifa!$H$13:$H$512,$J387)))</f>
        <v/>
      </c>
      <c r="I387" s="41">
        <f>IF(OR($M$3="No",$M$3="",NOT(ISNUMBER(F387))),"",IF(NOT(ISNUMBER(H387)),"Falta IVA",ROUND(F387*(1+(H387+IF($M$3="Con IVA y recargo",IF(H387=21,5.2,IF(H387=10,1.4,IF(H387=4,0.5,0))),0))/100),2)))</f>
        <v/>
      </c>
      <c r="J387">
        <f>IFERROR(MATCH(377,Tarifa!$O$13:$O$512,0),"")</f>
        <v/>
      </c>
    </row>
    <row r="388" ht="17" customHeight="1">
      <c r="A388" s="38">
        <f>IF($J388="","",IFERROR(IF(INDEX(Tarifa!$E$13:$E$512,$J388)&amp;""=INDEX(Tarifa!$E$13:$E$512,$J387)&amp;"","",INDEX(Tarifa!$E$13:$E$512,$J388)&amp;""),""))</f>
        <v/>
      </c>
      <c r="B388" s="39">
        <f>IF($J388="","",INDEX(Tarifa!$A$13:$A$512,$J388)&amp;"")</f>
        <v/>
      </c>
      <c r="C388" s="39">
        <f>IF($J388="","",INDEX(Tarifa!$B$13:$B$512,$J388)&amp;"")</f>
        <v/>
      </c>
      <c r="D388" s="39">
        <f>IF($J388="","",INDEX(Tarifa!$C$13:$C$512,$J388)&amp;"")</f>
        <v/>
      </c>
      <c r="E388" s="40">
        <f>IF($J388="","",IF(INDEX(Tarifa!$D$13:$D$512,$J388)="","",INDEX(Tarifa!$D$13:$D$512,$J388)))</f>
        <v/>
      </c>
      <c r="F388" s="41">
        <f>IF(OR($J388="",$J$1=""),"",IF(INDEX(Tarifa!$G$13:$G$512,$J388)="","",IF(NOT(ISNUMBER(INDEX(Tarifa!$G$13:$G$512,$J388))),"Revisa",IF($J$1=1,INDEX(Tarifa!$G$13:$G$512,$J388),ROUND(ROUND(INDEX(Tarifa!$G$13:$G$512,$J388)*(1+$J$2/100)/$J$3,0)*$J$3,2)))))</f>
        <v/>
      </c>
      <c r="G388" s="42">
        <f>IF(OR(NOT(ISNUMBER(F388)),N(E388)&lt;=1),"",ROUND(F388/E388,3))</f>
        <v/>
      </c>
      <c r="H388" s="43">
        <f>IF($J388="","",IF(INDEX(Tarifa!$H$13:$H$512,$J388)="","",INDEX(Tarifa!$H$13:$H$512,$J388)))</f>
        <v/>
      </c>
      <c r="I388" s="41">
        <f>IF(OR($M$3="No",$M$3="",NOT(ISNUMBER(F388))),"",IF(NOT(ISNUMBER(H388)),"Falta IVA",ROUND(F388*(1+(H388+IF($M$3="Con IVA y recargo",IF(H388=21,5.2,IF(H388=10,1.4,IF(H388=4,0.5,0))),0))/100),2)))</f>
        <v/>
      </c>
      <c r="J388">
        <f>IFERROR(MATCH(378,Tarifa!$O$13:$O$512,0),"")</f>
        <v/>
      </c>
    </row>
    <row r="389" ht="17" customHeight="1">
      <c r="A389" s="38">
        <f>IF($J389="","",IFERROR(IF(INDEX(Tarifa!$E$13:$E$512,$J389)&amp;""=INDEX(Tarifa!$E$13:$E$512,$J388)&amp;"","",INDEX(Tarifa!$E$13:$E$512,$J389)&amp;""),""))</f>
        <v/>
      </c>
      <c r="B389" s="39">
        <f>IF($J389="","",INDEX(Tarifa!$A$13:$A$512,$J389)&amp;"")</f>
        <v/>
      </c>
      <c r="C389" s="39">
        <f>IF($J389="","",INDEX(Tarifa!$B$13:$B$512,$J389)&amp;"")</f>
        <v/>
      </c>
      <c r="D389" s="39">
        <f>IF($J389="","",INDEX(Tarifa!$C$13:$C$512,$J389)&amp;"")</f>
        <v/>
      </c>
      <c r="E389" s="40">
        <f>IF($J389="","",IF(INDEX(Tarifa!$D$13:$D$512,$J389)="","",INDEX(Tarifa!$D$13:$D$512,$J389)))</f>
        <v/>
      </c>
      <c r="F389" s="41">
        <f>IF(OR($J389="",$J$1=""),"",IF(INDEX(Tarifa!$G$13:$G$512,$J389)="","",IF(NOT(ISNUMBER(INDEX(Tarifa!$G$13:$G$512,$J389))),"Revisa",IF($J$1=1,INDEX(Tarifa!$G$13:$G$512,$J389),ROUND(ROUND(INDEX(Tarifa!$G$13:$G$512,$J389)*(1+$J$2/100)/$J$3,0)*$J$3,2)))))</f>
        <v/>
      </c>
      <c r="G389" s="42">
        <f>IF(OR(NOT(ISNUMBER(F389)),N(E389)&lt;=1),"",ROUND(F389/E389,3))</f>
        <v/>
      </c>
      <c r="H389" s="43">
        <f>IF($J389="","",IF(INDEX(Tarifa!$H$13:$H$512,$J389)="","",INDEX(Tarifa!$H$13:$H$512,$J389)))</f>
        <v/>
      </c>
      <c r="I389" s="41">
        <f>IF(OR($M$3="No",$M$3="",NOT(ISNUMBER(F389))),"",IF(NOT(ISNUMBER(H389)),"Falta IVA",ROUND(F389*(1+(H389+IF($M$3="Con IVA y recargo",IF(H389=21,5.2,IF(H389=10,1.4,IF(H389=4,0.5,0))),0))/100),2)))</f>
        <v/>
      </c>
      <c r="J389">
        <f>IFERROR(MATCH(379,Tarifa!$O$13:$O$512,0),"")</f>
        <v/>
      </c>
    </row>
    <row r="390" ht="17" customHeight="1">
      <c r="A390" s="38">
        <f>IF($J390="","",IFERROR(IF(INDEX(Tarifa!$E$13:$E$512,$J390)&amp;""=INDEX(Tarifa!$E$13:$E$512,$J389)&amp;"","",INDEX(Tarifa!$E$13:$E$512,$J390)&amp;""),""))</f>
        <v/>
      </c>
      <c r="B390" s="39">
        <f>IF($J390="","",INDEX(Tarifa!$A$13:$A$512,$J390)&amp;"")</f>
        <v/>
      </c>
      <c r="C390" s="39">
        <f>IF($J390="","",INDEX(Tarifa!$B$13:$B$512,$J390)&amp;"")</f>
        <v/>
      </c>
      <c r="D390" s="39">
        <f>IF($J390="","",INDEX(Tarifa!$C$13:$C$512,$J390)&amp;"")</f>
        <v/>
      </c>
      <c r="E390" s="40">
        <f>IF($J390="","",IF(INDEX(Tarifa!$D$13:$D$512,$J390)="","",INDEX(Tarifa!$D$13:$D$512,$J390)))</f>
        <v/>
      </c>
      <c r="F390" s="41">
        <f>IF(OR($J390="",$J$1=""),"",IF(INDEX(Tarifa!$G$13:$G$512,$J390)="","",IF(NOT(ISNUMBER(INDEX(Tarifa!$G$13:$G$512,$J390))),"Revisa",IF($J$1=1,INDEX(Tarifa!$G$13:$G$512,$J390),ROUND(ROUND(INDEX(Tarifa!$G$13:$G$512,$J390)*(1+$J$2/100)/$J$3,0)*$J$3,2)))))</f>
        <v/>
      </c>
      <c r="G390" s="42">
        <f>IF(OR(NOT(ISNUMBER(F390)),N(E390)&lt;=1),"",ROUND(F390/E390,3))</f>
        <v/>
      </c>
      <c r="H390" s="43">
        <f>IF($J390="","",IF(INDEX(Tarifa!$H$13:$H$512,$J390)="","",INDEX(Tarifa!$H$13:$H$512,$J390)))</f>
        <v/>
      </c>
      <c r="I390" s="41">
        <f>IF(OR($M$3="No",$M$3="",NOT(ISNUMBER(F390))),"",IF(NOT(ISNUMBER(H390)),"Falta IVA",ROUND(F390*(1+(H390+IF($M$3="Con IVA y recargo",IF(H390=21,5.2,IF(H390=10,1.4,IF(H390=4,0.5,0))),0))/100),2)))</f>
        <v/>
      </c>
      <c r="J390">
        <f>IFERROR(MATCH(380,Tarifa!$O$13:$O$512,0),"")</f>
        <v/>
      </c>
    </row>
    <row r="391" ht="17" customHeight="1">
      <c r="A391" s="38">
        <f>IF($J391="","",IFERROR(IF(INDEX(Tarifa!$E$13:$E$512,$J391)&amp;""=INDEX(Tarifa!$E$13:$E$512,$J390)&amp;"","",INDEX(Tarifa!$E$13:$E$512,$J391)&amp;""),""))</f>
        <v/>
      </c>
      <c r="B391" s="39">
        <f>IF($J391="","",INDEX(Tarifa!$A$13:$A$512,$J391)&amp;"")</f>
        <v/>
      </c>
      <c r="C391" s="39">
        <f>IF($J391="","",INDEX(Tarifa!$B$13:$B$512,$J391)&amp;"")</f>
        <v/>
      </c>
      <c r="D391" s="39">
        <f>IF($J391="","",INDEX(Tarifa!$C$13:$C$512,$J391)&amp;"")</f>
        <v/>
      </c>
      <c r="E391" s="40">
        <f>IF($J391="","",IF(INDEX(Tarifa!$D$13:$D$512,$J391)="","",INDEX(Tarifa!$D$13:$D$512,$J391)))</f>
        <v/>
      </c>
      <c r="F391" s="41">
        <f>IF(OR($J391="",$J$1=""),"",IF(INDEX(Tarifa!$G$13:$G$512,$J391)="","",IF(NOT(ISNUMBER(INDEX(Tarifa!$G$13:$G$512,$J391))),"Revisa",IF($J$1=1,INDEX(Tarifa!$G$13:$G$512,$J391),ROUND(ROUND(INDEX(Tarifa!$G$13:$G$512,$J391)*(1+$J$2/100)/$J$3,0)*$J$3,2)))))</f>
        <v/>
      </c>
      <c r="G391" s="42">
        <f>IF(OR(NOT(ISNUMBER(F391)),N(E391)&lt;=1),"",ROUND(F391/E391,3))</f>
        <v/>
      </c>
      <c r="H391" s="43">
        <f>IF($J391="","",IF(INDEX(Tarifa!$H$13:$H$512,$J391)="","",INDEX(Tarifa!$H$13:$H$512,$J391)))</f>
        <v/>
      </c>
      <c r="I391" s="41">
        <f>IF(OR($M$3="No",$M$3="",NOT(ISNUMBER(F391))),"",IF(NOT(ISNUMBER(H391)),"Falta IVA",ROUND(F391*(1+(H391+IF($M$3="Con IVA y recargo",IF(H391=21,5.2,IF(H391=10,1.4,IF(H391=4,0.5,0))),0))/100),2)))</f>
        <v/>
      </c>
      <c r="J391">
        <f>IFERROR(MATCH(381,Tarifa!$O$13:$O$512,0),"")</f>
        <v/>
      </c>
    </row>
    <row r="392" ht="17" customHeight="1">
      <c r="A392" s="38">
        <f>IF($J392="","",IFERROR(IF(INDEX(Tarifa!$E$13:$E$512,$J392)&amp;""=INDEX(Tarifa!$E$13:$E$512,$J391)&amp;"","",INDEX(Tarifa!$E$13:$E$512,$J392)&amp;""),""))</f>
        <v/>
      </c>
      <c r="B392" s="39">
        <f>IF($J392="","",INDEX(Tarifa!$A$13:$A$512,$J392)&amp;"")</f>
        <v/>
      </c>
      <c r="C392" s="39">
        <f>IF($J392="","",INDEX(Tarifa!$B$13:$B$512,$J392)&amp;"")</f>
        <v/>
      </c>
      <c r="D392" s="39">
        <f>IF($J392="","",INDEX(Tarifa!$C$13:$C$512,$J392)&amp;"")</f>
        <v/>
      </c>
      <c r="E392" s="40">
        <f>IF($J392="","",IF(INDEX(Tarifa!$D$13:$D$512,$J392)="","",INDEX(Tarifa!$D$13:$D$512,$J392)))</f>
        <v/>
      </c>
      <c r="F392" s="41">
        <f>IF(OR($J392="",$J$1=""),"",IF(INDEX(Tarifa!$G$13:$G$512,$J392)="","",IF(NOT(ISNUMBER(INDEX(Tarifa!$G$13:$G$512,$J392))),"Revisa",IF($J$1=1,INDEX(Tarifa!$G$13:$G$512,$J392),ROUND(ROUND(INDEX(Tarifa!$G$13:$G$512,$J392)*(1+$J$2/100)/$J$3,0)*$J$3,2)))))</f>
        <v/>
      </c>
      <c r="G392" s="42">
        <f>IF(OR(NOT(ISNUMBER(F392)),N(E392)&lt;=1),"",ROUND(F392/E392,3))</f>
        <v/>
      </c>
      <c r="H392" s="43">
        <f>IF($J392="","",IF(INDEX(Tarifa!$H$13:$H$512,$J392)="","",INDEX(Tarifa!$H$13:$H$512,$J392)))</f>
        <v/>
      </c>
      <c r="I392" s="41">
        <f>IF(OR($M$3="No",$M$3="",NOT(ISNUMBER(F392))),"",IF(NOT(ISNUMBER(H392)),"Falta IVA",ROUND(F392*(1+(H392+IF($M$3="Con IVA y recargo",IF(H392=21,5.2,IF(H392=10,1.4,IF(H392=4,0.5,0))),0))/100),2)))</f>
        <v/>
      </c>
      <c r="J392">
        <f>IFERROR(MATCH(382,Tarifa!$O$13:$O$512,0),"")</f>
        <v/>
      </c>
    </row>
    <row r="393" ht="17" customHeight="1">
      <c r="A393" s="38">
        <f>IF($J393="","",IFERROR(IF(INDEX(Tarifa!$E$13:$E$512,$J393)&amp;""=INDEX(Tarifa!$E$13:$E$512,$J392)&amp;"","",INDEX(Tarifa!$E$13:$E$512,$J393)&amp;""),""))</f>
        <v/>
      </c>
      <c r="B393" s="39">
        <f>IF($J393="","",INDEX(Tarifa!$A$13:$A$512,$J393)&amp;"")</f>
        <v/>
      </c>
      <c r="C393" s="39">
        <f>IF($J393="","",INDEX(Tarifa!$B$13:$B$512,$J393)&amp;"")</f>
        <v/>
      </c>
      <c r="D393" s="39">
        <f>IF($J393="","",INDEX(Tarifa!$C$13:$C$512,$J393)&amp;"")</f>
        <v/>
      </c>
      <c r="E393" s="40">
        <f>IF($J393="","",IF(INDEX(Tarifa!$D$13:$D$512,$J393)="","",INDEX(Tarifa!$D$13:$D$512,$J393)))</f>
        <v/>
      </c>
      <c r="F393" s="41">
        <f>IF(OR($J393="",$J$1=""),"",IF(INDEX(Tarifa!$G$13:$G$512,$J393)="","",IF(NOT(ISNUMBER(INDEX(Tarifa!$G$13:$G$512,$J393))),"Revisa",IF($J$1=1,INDEX(Tarifa!$G$13:$G$512,$J393),ROUND(ROUND(INDEX(Tarifa!$G$13:$G$512,$J393)*(1+$J$2/100)/$J$3,0)*$J$3,2)))))</f>
        <v/>
      </c>
      <c r="G393" s="42">
        <f>IF(OR(NOT(ISNUMBER(F393)),N(E393)&lt;=1),"",ROUND(F393/E393,3))</f>
        <v/>
      </c>
      <c r="H393" s="43">
        <f>IF($J393="","",IF(INDEX(Tarifa!$H$13:$H$512,$J393)="","",INDEX(Tarifa!$H$13:$H$512,$J393)))</f>
        <v/>
      </c>
      <c r="I393" s="41">
        <f>IF(OR($M$3="No",$M$3="",NOT(ISNUMBER(F393))),"",IF(NOT(ISNUMBER(H393)),"Falta IVA",ROUND(F393*(1+(H393+IF($M$3="Con IVA y recargo",IF(H393=21,5.2,IF(H393=10,1.4,IF(H393=4,0.5,0))),0))/100),2)))</f>
        <v/>
      </c>
      <c r="J393">
        <f>IFERROR(MATCH(383,Tarifa!$O$13:$O$512,0),"")</f>
        <v/>
      </c>
    </row>
    <row r="394" ht="17" customHeight="1">
      <c r="A394" s="38">
        <f>IF($J394="","",IFERROR(IF(INDEX(Tarifa!$E$13:$E$512,$J394)&amp;""=INDEX(Tarifa!$E$13:$E$512,$J393)&amp;"","",INDEX(Tarifa!$E$13:$E$512,$J394)&amp;""),""))</f>
        <v/>
      </c>
      <c r="B394" s="39">
        <f>IF($J394="","",INDEX(Tarifa!$A$13:$A$512,$J394)&amp;"")</f>
        <v/>
      </c>
      <c r="C394" s="39">
        <f>IF($J394="","",INDEX(Tarifa!$B$13:$B$512,$J394)&amp;"")</f>
        <v/>
      </c>
      <c r="D394" s="39">
        <f>IF($J394="","",INDEX(Tarifa!$C$13:$C$512,$J394)&amp;"")</f>
        <v/>
      </c>
      <c r="E394" s="40">
        <f>IF($J394="","",IF(INDEX(Tarifa!$D$13:$D$512,$J394)="","",INDEX(Tarifa!$D$13:$D$512,$J394)))</f>
        <v/>
      </c>
      <c r="F394" s="41">
        <f>IF(OR($J394="",$J$1=""),"",IF(INDEX(Tarifa!$G$13:$G$512,$J394)="","",IF(NOT(ISNUMBER(INDEX(Tarifa!$G$13:$G$512,$J394))),"Revisa",IF($J$1=1,INDEX(Tarifa!$G$13:$G$512,$J394),ROUND(ROUND(INDEX(Tarifa!$G$13:$G$512,$J394)*(1+$J$2/100)/$J$3,0)*$J$3,2)))))</f>
        <v/>
      </c>
      <c r="G394" s="42">
        <f>IF(OR(NOT(ISNUMBER(F394)),N(E394)&lt;=1),"",ROUND(F394/E394,3))</f>
        <v/>
      </c>
      <c r="H394" s="43">
        <f>IF($J394="","",IF(INDEX(Tarifa!$H$13:$H$512,$J394)="","",INDEX(Tarifa!$H$13:$H$512,$J394)))</f>
        <v/>
      </c>
      <c r="I394" s="41">
        <f>IF(OR($M$3="No",$M$3="",NOT(ISNUMBER(F394))),"",IF(NOT(ISNUMBER(H394)),"Falta IVA",ROUND(F394*(1+(H394+IF($M$3="Con IVA y recargo",IF(H394=21,5.2,IF(H394=10,1.4,IF(H394=4,0.5,0))),0))/100),2)))</f>
        <v/>
      </c>
      <c r="J394">
        <f>IFERROR(MATCH(384,Tarifa!$O$13:$O$512,0),"")</f>
        <v/>
      </c>
    </row>
    <row r="395" ht="17" customHeight="1">
      <c r="A395" s="38">
        <f>IF($J395="","",IFERROR(IF(INDEX(Tarifa!$E$13:$E$512,$J395)&amp;""=INDEX(Tarifa!$E$13:$E$512,$J394)&amp;"","",INDEX(Tarifa!$E$13:$E$512,$J395)&amp;""),""))</f>
        <v/>
      </c>
      <c r="B395" s="39">
        <f>IF($J395="","",INDEX(Tarifa!$A$13:$A$512,$J395)&amp;"")</f>
        <v/>
      </c>
      <c r="C395" s="39">
        <f>IF($J395="","",INDEX(Tarifa!$B$13:$B$512,$J395)&amp;"")</f>
        <v/>
      </c>
      <c r="D395" s="39">
        <f>IF($J395="","",INDEX(Tarifa!$C$13:$C$512,$J395)&amp;"")</f>
        <v/>
      </c>
      <c r="E395" s="40">
        <f>IF($J395="","",IF(INDEX(Tarifa!$D$13:$D$512,$J395)="","",INDEX(Tarifa!$D$13:$D$512,$J395)))</f>
        <v/>
      </c>
      <c r="F395" s="41">
        <f>IF(OR($J395="",$J$1=""),"",IF(INDEX(Tarifa!$G$13:$G$512,$J395)="","",IF(NOT(ISNUMBER(INDEX(Tarifa!$G$13:$G$512,$J395))),"Revisa",IF($J$1=1,INDEX(Tarifa!$G$13:$G$512,$J395),ROUND(ROUND(INDEX(Tarifa!$G$13:$G$512,$J395)*(1+$J$2/100)/$J$3,0)*$J$3,2)))))</f>
        <v/>
      </c>
      <c r="G395" s="42">
        <f>IF(OR(NOT(ISNUMBER(F395)),N(E395)&lt;=1),"",ROUND(F395/E395,3))</f>
        <v/>
      </c>
      <c r="H395" s="43">
        <f>IF($J395="","",IF(INDEX(Tarifa!$H$13:$H$512,$J395)="","",INDEX(Tarifa!$H$13:$H$512,$J395)))</f>
        <v/>
      </c>
      <c r="I395" s="41">
        <f>IF(OR($M$3="No",$M$3="",NOT(ISNUMBER(F395))),"",IF(NOT(ISNUMBER(H395)),"Falta IVA",ROUND(F395*(1+(H395+IF($M$3="Con IVA y recargo",IF(H395=21,5.2,IF(H395=10,1.4,IF(H395=4,0.5,0))),0))/100),2)))</f>
        <v/>
      </c>
      <c r="J395">
        <f>IFERROR(MATCH(385,Tarifa!$O$13:$O$512,0),"")</f>
        <v/>
      </c>
    </row>
    <row r="396" ht="17" customHeight="1">
      <c r="A396" s="38">
        <f>IF($J396="","",IFERROR(IF(INDEX(Tarifa!$E$13:$E$512,$J396)&amp;""=INDEX(Tarifa!$E$13:$E$512,$J395)&amp;"","",INDEX(Tarifa!$E$13:$E$512,$J396)&amp;""),""))</f>
        <v/>
      </c>
      <c r="B396" s="39">
        <f>IF($J396="","",INDEX(Tarifa!$A$13:$A$512,$J396)&amp;"")</f>
        <v/>
      </c>
      <c r="C396" s="39">
        <f>IF($J396="","",INDEX(Tarifa!$B$13:$B$512,$J396)&amp;"")</f>
        <v/>
      </c>
      <c r="D396" s="39">
        <f>IF($J396="","",INDEX(Tarifa!$C$13:$C$512,$J396)&amp;"")</f>
        <v/>
      </c>
      <c r="E396" s="40">
        <f>IF($J396="","",IF(INDEX(Tarifa!$D$13:$D$512,$J396)="","",INDEX(Tarifa!$D$13:$D$512,$J396)))</f>
        <v/>
      </c>
      <c r="F396" s="41">
        <f>IF(OR($J396="",$J$1=""),"",IF(INDEX(Tarifa!$G$13:$G$512,$J396)="","",IF(NOT(ISNUMBER(INDEX(Tarifa!$G$13:$G$512,$J396))),"Revisa",IF($J$1=1,INDEX(Tarifa!$G$13:$G$512,$J396),ROUND(ROUND(INDEX(Tarifa!$G$13:$G$512,$J396)*(1+$J$2/100)/$J$3,0)*$J$3,2)))))</f>
        <v/>
      </c>
      <c r="G396" s="42">
        <f>IF(OR(NOT(ISNUMBER(F396)),N(E396)&lt;=1),"",ROUND(F396/E396,3))</f>
        <v/>
      </c>
      <c r="H396" s="43">
        <f>IF($J396="","",IF(INDEX(Tarifa!$H$13:$H$512,$J396)="","",INDEX(Tarifa!$H$13:$H$512,$J396)))</f>
        <v/>
      </c>
      <c r="I396" s="41">
        <f>IF(OR($M$3="No",$M$3="",NOT(ISNUMBER(F396))),"",IF(NOT(ISNUMBER(H396)),"Falta IVA",ROUND(F396*(1+(H396+IF($M$3="Con IVA y recargo",IF(H396=21,5.2,IF(H396=10,1.4,IF(H396=4,0.5,0))),0))/100),2)))</f>
        <v/>
      </c>
      <c r="J396">
        <f>IFERROR(MATCH(386,Tarifa!$O$13:$O$512,0),"")</f>
        <v/>
      </c>
    </row>
    <row r="397" ht="17" customHeight="1">
      <c r="A397" s="38">
        <f>IF($J397="","",IFERROR(IF(INDEX(Tarifa!$E$13:$E$512,$J397)&amp;""=INDEX(Tarifa!$E$13:$E$512,$J396)&amp;"","",INDEX(Tarifa!$E$13:$E$512,$J397)&amp;""),""))</f>
        <v/>
      </c>
      <c r="B397" s="39">
        <f>IF($J397="","",INDEX(Tarifa!$A$13:$A$512,$J397)&amp;"")</f>
        <v/>
      </c>
      <c r="C397" s="39">
        <f>IF($J397="","",INDEX(Tarifa!$B$13:$B$512,$J397)&amp;"")</f>
        <v/>
      </c>
      <c r="D397" s="39">
        <f>IF($J397="","",INDEX(Tarifa!$C$13:$C$512,$J397)&amp;"")</f>
        <v/>
      </c>
      <c r="E397" s="40">
        <f>IF($J397="","",IF(INDEX(Tarifa!$D$13:$D$512,$J397)="","",INDEX(Tarifa!$D$13:$D$512,$J397)))</f>
        <v/>
      </c>
      <c r="F397" s="41">
        <f>IF(OR($J397="",$J$1=""),"",IF(INDEX(Tarifa!$G$13:$G$512,$J397)="","",IF(NOT(ISNUMBER(INDEX(Tarifa!$G$13:$G$512,$J397))),"Revisa",IF($J$1=1,INDEX(Tarifa!$G$13:$G$512,$J397),ROUND(ROUND(INDEX(Tarifa!$G$13:$G$512,$J397)*(1+$J$2/100)/$J$3,0)*$J$3,2)))))</f>
        <v/>
      </c>
      <c r="G397" s="42">
        <f>IF(OR(NOT(ISNUMBER(F397)),N(E397)&lt;=1),"",ROUND(F397/E397,3))</f>
        <v/>
      </c>
      <c r="H397" s="43">
        <f>IF($J397="","",IF(INDEX(Tarifa!$H$13:$H$512,$J397)="","",INDEX(Tarifa!$H$13:$H$512,$J397)))</f>
        <v/>
      </c>
      <c r="I397" s="41">
        <f>IF(OR($M$3="No",$M$3="",NOT(ISNUMBER(F397))),"",IF(NOT(ISNUMBER(H397)),"Falta IVA",ROUND(F397*(1+(H397+IF($M$3="Con IVA y recargo",IF(H397=21,5.2,IF(H397=10,1.4,IF(H397=4,0.5,0))),0))/100),2)))</f>
        <v/>
      </c>
      <c r="J397">
        <f>IFERROR(MATCH(387,Tarifa!$O$13:$O$512,0),"")</f>
        <v/>
      </c>
    </row>
    <row r="398" ht="17" customHeight="1">
      <c r="A398" s="38">
        <f>IF($J398="","",IFERROR(IF(INDEX(Tarifa!$E$13:$E$512,$J398)&amp;""=INDEX(Tarifa!$E$13:$E$512,$J397)&amp;"","",INDEX(Tarifa!$E$13:$E$512,$J398)&amp;""),""))</f>
        <v/>
      </c>
      <c r="B398" s="39">
        <f>IF($J398="","",INDEX(Tarifa!$A$13:$A$512,$J398)&amp;"")</f>
        <v/>
      </c>
      <c r="C398" s="39">
        <f>IF($J398="","",INDEX(Tarifa!$B$13:$B$512,$J398)&amp;"")</f>
        <v/>
      </c>
      <c r="D398" s="39">
        <f>IF($J398="","",INDEX(Tarifa!$C$13:$C$512,$J398)&amp;"")</f>
        <v/>
      </c>
      <c r="E398" s="40">
        <f>IF($J398="","",IF(INDEX(Tarifa!$D$13:$D$512,$J398)="","",INDEX(Tarifa!$D$13:$D$512,$J398)))</f>
        <v/>
      </c>
      <c r="F398" s="41">
        <f>IF(OR($J398="",$J$1=""),"",IF(INDEX(Tarifa!$G$13:$G$512,$J398)="","",IF(NOT(ISNUMBER(INDEX(Tarifa!$G$13:$G$512,$J398))),"Revisa",IF($J$1=1,INDEX(Tarifa!$G$13:$G$512,$J398),ROUND(ROUND(INDEX(Tarifa!$G$13:$G$512,$J398)*(1+$J$2/100)/$J$3,0)*$J$3,2)))))</f>
        <v/>
      </c>
      <c r="G398" s="42">
        <f>IF(OR(NOT(ISNUMBER(F398)),N(E398)&lt;=1),"",ROUND(F398/E398,3))</f>
        <v/>
      </c>
      <c r="H398" s="43">
        <f>IF($J398="","",IF(INDEX(Tarifa!$H$13:$H$512,$J398)="","",INDEX(Tarifa!$H$13:$H$512,$J398)))</f>
        <v/>
      </c>
      <c r="I398" s="41">
        <f>IF(OR($M$3="No",$M$3="",NOT(ISNUMBER(F398))),"",IF(NOT(ISNUMBER(H398)),"Falta IVA",ROUND(F398*(1+(H398+IF($M$3="Con IVA y recargo",IF(H398=21,5.2,IF(H398=10,1.4,IF(H398=4,0.5,0))),0))/100),2)))</f>
        <v/>
      </c>
      <c r="J398">
        <f>IFERROR(MATCH(388,Tarifa!$O$13:$O$512,0),"")</f>
        <v/>
      </c>
    </row>
    <row r="399" ht="17" customHeight="1">
      <c r="A399" s="38">
        <f>IF($J399="","",IFERROR(IF(INDEX(Tarifa!$E$13:$E$512,$J399)&amp;""=INDEX(Tarifa!$E$13:$E$512,$J398)&amp;"","",INDEX(Tarifa!$E$13:$E$512,$J399)&amp;""),""))</f>
        <v/>
      </c>
      <c r="B399" s="39">
        <f>IF($J399="","",INDEX(Tarifa!$A$13:$A$512,$J399)&amp;"")</f>
        <v/>
      </c>
      <c r="C399" s="39">
        <f>IF($J399="","",INDEX(Tarifa!$B$13:$B$512,$J399)&amp;"")</f>
        <v/>
      </c>
      <c r="D399" s="39">
        <f>IF($J399="","",INDEX(Tarifa!$C$13:$C$512,$J399)&amp;"")</f>
        <v/>
      </c>
      <c r="E399" s="40">
        <f>IF($J399="","",IF(INDEX(Tarifa!$D$13:$D$512,$J399)="","",INDEX(Tarifa!$D$13:$D$512,$J399)))</f>
        <v/>
      </c>
      <c r="F399" s="41">
        <f>IF(OR($J399="",$J$1=""),"",IF(INDEX(Tarifa!$G$13:$G$512,$J399)="","",IF(NOT(ISNUMBER(INDEX(Tarifa!$G$13:$G$512,$J399))),"Revisa",IF($J$1=1,INDEX(Tarifa!$G$13:$G$512,$J399),ROUND(ROUND(INDEX(Tarifa!$G$13:$G$512,$J399)*(1+$J$2/100)/$J$3,0)*$J$3,2)))))</f>
        <v/>
      </c>
      <c r="G399" s="42">
        <f>IF(OR(NOT(ISNUMBER(F399)),N(E399)&lt;=1),"",ROUND(F399/E399,3))</f>
        <v/>
      </c>
      <c r="H399" s="43">
        <f>IF($J399="","",IF(INDEX(Tarifa!$H$13:$H$512,$J399)="","",INDEX(Tarifa!$H$13:$H$512,$J399)))</f>
        <v/>
      </c>
      <c r="I399" s="41">
        <f>IF(OR($M$3="No",$M$3="",NOT(ISNUMBER(F399))),"",IF(NOT(ISNUMBER(H399)),"Falta IVA",ROUND(F399*(1+(H399+IF($M$3="Con IVA y recargo",IF(H399=21,5.2,IF(H399=10,1.4,IF(H399=4,0.5,0))),0))/100),2)))</f>
        <v/>
      </c>
      <c r="J399">
        <f>IFERROR(MATCH(389,Tarifa!$O$13:$O$512,0),"")</f>
        <v/>
      </c>
    </row>
    <row r="400" ht="17" customHeight="1">
      <c r="A400" s="38">
        <f>IF($J400="","",IFERROR(IF(INDEX(Tarifa!$E$13:$E$512,$J400)&amp;""=INDEX(Tarifa!$E$13:$E$512,$J399)&amp;"","",INDEX(Tarifa!$E$13:$E$512,$J400)&amp;""),""))</f>
        <v/>
      </c>
      <c r="B400" s="39">
        <f>IF($J400="","",INDEX(Tarifa!$A$13:$A$512,$J400)&amp;"")</f>
        <v/>
      </c>
      <c r="C400" s="39">
        <f>IF($J400="","",INDEX(Tarifa!$B$13:$B$512,$J400)&amp;"")</f>
        <v/>
      </c>
      <c r="D400" s="39">
        <f>IF($J400="","",INDEX(Tarifa!$C$13:$C$512,$J400)&amp;"")</f>
        <v/>
      </c>
      <c r="E400" s="40">
        <f>IF($J400="","",IF(INDEX(Tarifa!$D$13:$D$512,$J400)="","",INDEX(Tarifa!$D$13:$D$512,$J400)))</f>
        <v/>
      </c>
      <c r="F400" s="41">
        <f>IF(OR($J400="",$J$1=""),"",IF(INDEX(Tarifa!$G$13:$G$512,$J400)="","",IF(NOT(ISNUMBER(INDEX(Tarifa!$G$13:$G$512,$J400))),"Revisa",IF($J$1=1,INDEX(Tarifa!$G$13:$G$512,$J400),ROUND(ROUND(INDEX(Tarifa!$G$13:$G$512,$J400)*(1+$J$2/100)/$J$3,0)*$J$3,2)))))</f>
        <v/>
      </c>
      <c r="G400" s="42">
        <f>IF(OR(NOT(ISNUMBER(F400)),N(E400)&lt;=1),"",ROUND(F400/E400,3))</f>
        <v/>
      </c>
      <c r="H400" s="43">
        <f>IF($J400="","",IF(INDEX(Tarifa!$H$13:$H$512,$J400)="","",INDEX(Tarifa!$H$13:$H$512,$J400)))</f>
        <v/>
      </c>
      <c r="I400" s="41">
        <f>IF(OR($M$3="No",$M$3="",NOT(ISNUMBER(F400))),"",IF(NOT(ISNUMBER(H400)),"Falta IVA",ROUND(F400*(1+(H400+IF($M$3="Con IVA y recargo",IF(H400=21,5.2,IF(H400=10,1.4,IF(H400=4,0.5,0))),0))/100),2)))</f>
        <v/>
      </c>
      <c r="J400">
        <f>IFERROR(MATCH(390,Tarifa!$O$13:$O$512,0),"")</f>
        <v/>
      </c>
    </row>
    <row r="401" ht="17" customHeight="1">
      <c r="A401" s="38">
        <f>IF($J401="","",IFERROR(IF(INDEX(Tarifa!$E$13:$E$512,$J401)&amp;""=INDEX(Tarifa!$E$13:$E$512,$J400)&amp;"","",INDEX(Tarifa!$E$13:$E$512,$J401)&amp;""),""))</f>
        <v/>
      </c>
      <c r="B401" s="39">
        <f>IF($J401="","",INDEX(Tarifa!$A$13:$A$512,$J401)&amp;"")</f>
        <v/>
      </c>
      <c r="C401" s="39">
        <f>IF($J401="","",INDEX(Tarifa!$B$13:$B$512,$J401)&amp;"")</f>
        <v/>
      </c>
      <c r="D401" s="39">
        <f>IF($J401="","",INDEX(Tarifa!$C$13:$C$512,$J401)&amp;"")</f>
        <v/>
      </c>
      <c r="E401" s="40">
        <f>IF($J401="","",IF(INDEX(Tarifa!$D$13:$D$512,$J401)="","",INDEX(Tarifa!$D$13:$D$512,$J401)))</f>
        <v/>
      </c>
      <c r="F401" s="41">
        <f>IF(OR($J401="",$J$1=""),"",IF(INDEX(Tarifa!$G$13:$G$512,$J401)="","",IF(NOT(ISNUMBER(INDEX(Tarifa!$G$13:$G$512,$J401))),"Revisa",IF($J$1=1,INDEX(Tarifa!$G$13:$G$512,$J401),ROUND(ROUND(INDEX(Tarifa!$G$13:$G$512,$J401)*(1+$J$2/100)/$J$3,0)*$J$3,2)))))</f>
        <v/>
      </c>
      <c r="G401" s="42">
        <f>IF(OR(NOT(ISNUMBER(F401)),N(E401)&lt;=1),"",ROUND(F401/E401,3))</f>
        <v/>
      </c>
      <c r="H401" s="43">
        <f>IF($J401="","",IF(INDEX(Tarifa!$H$13:$H$512,$J401)="","",INDEX(Tarifa!$H$13:$H$512,$J401)))</f>
        <v/>
      </c>
      <c r="I401" s="41">
        <f>IF(OR($M$3="No",$M$3="",NOT(ISNUMBER(F401))),"",IF(NOT(ISNUMBER(H401)),"Falta IVA",ROUND(F401*(1+(H401+IF($M$3="Con IVA y recargo",IF(H401=21,5.2,IF(H401=10,1.4,IF(H401=4,0.5,0))),0))/100),2)))</f>
        <v/>
      </c>
      <c r="J401">
        <f>IFERROR(MATCH(391,Tarifa!$O$13:$O$512,0),"")</f>
        <v/>
      </c>
    </row>
    <row r="402" ht="17" customHeight="1">
      <c r="A402" s="38">
        <f>IF($J402="","",IFERROR(IF(INDEX(Tarifa!$E$13:$E$512,$J402)&amp;""=INDEX(Tarifa!$E$13:$E$512,$J401)&amp;"","",INDEX(Tarifa!$E$13:$E$512,$J402)&amp;""),""))</f>
        <v/>
      </c>
      <c r="B402" s="39">
        <f>IF($J402="","",INDEX(Tarifa!$A$13:$A$512,$J402)&amp;"")</f>
        <v/>
      </c>
      <c r="C402" s="39">
        <f>IF($J402="","",INDEX(Tarifa!$B$13:$B$512,$J402)&amp;"")</f>
        <v/>
      </c>
      <c r="D402" s="39">
        <f>IF($J402="","",INDEX(Tarifa!$C$13:$C$512,$J402)&amp;"")</f>
        <v/>
      </c>
      <c r="E402" s="40">
        <f>IF($J402="","",IF(INDEX(Tarifa!$D$13:$D$512,$J402)="","",INDEX(Tarifa!$D$13:$D$512,$J402)))</f>
        <v/>
      </c>
      <c r="F402" s="41">
        <f>IF(OR($J402="",$J$1=""),"",IF(INDEX(Tarifa!$G$13:$G$512,$J402)="","",IF(NOT(ISNUMBER(INDEX(Tarifa!$G$13:$G$512,$J402))),"Revisa",IF($J$1=1,INDEX(Tarifa!$G$13:$G$512,$J402),ROUND(ROUND(INDEX(Tarifa!$G$13:$G$512,$J402)*(1+$J$2/100)/$J$3,0)*$J$3,2)))))</f>
        <v/>
      </c>
      <c r="G402" s="42">
        <f>IF(OR(NOT(ISNUMBER(F402)),N(E402)&lt;=1),"",ROUND(F402/E402,3))</f>
        <v/>
      </c>
      <c r="H402" s="43">
        <f>IF($J402="","",IF(INDEX(Tarifa!$H$13:$H$512,$J402)="","",INDEX(Tarifa!$H$13:$H$512,$J402)))</f>
        <v/>
      </c>
      <c r="I402" s="41">
        <f>IF(OR($M$3="No",$M$3="",NOT(ISNUMBER(F402))),"",IF(NOT(ISNUMBER(H402)),"Falta IVA",ROUND(F402*(1+(H402+IF($M$3="Con IVA y recargo",IF(H402=21,5.2,IF(H402=10,1.4,IF(H402=4,0.5,0))),0))/100),2)))</f>
        <v/>
      </c>
      <c r="J402">
        <f>IFERROR(MATCH(392,Tarifa!$O$13:$O$512,0),"")</f>
        <v/>
      </c>
    </row>
    <row r="403" ht="17" customHeight="1">
      <c r="A403" s="38">
        <f>IF($J403="","",IFERROR(IF(INDEX(Tarifa!$E$13:$E$512,$J403)&amp;""=INDEX(Tarifa!$E$13:$E$512,$J402)&amp;"","",INDEX(Tarifa!$E$13:$E$512,$J403)&amp;""),""))</f>
        <v/>
      </c>
      <c r="B403" s="39">
        <f>IF($J403="","",INDEX(Tarifa!$A$13:$A$512,$J403)&amp;"")</f>
        <v/>
      </c>
      <c r="C403" s="39">
        <f>IF($J403="","",INDEX(Tarifa!$B$13:$B$512,$J403)&amp;"")</f>
        <v/>
      </c>
      <c r="D403" s="39">
        <f>IF($J403="","",INDEX(Tarifa!$C$13:$C$512,$J403)&amp;"")</f>
        <v/>
      </c>
      <c r="E403" s="40">
        <f>IF($J403="","",IF(INDEX(Tarifa!$D$13:$D$512,$J403)="","",INDEX(Tarifa!$D$13:$D$512,$J403)))</f>
        <v/>
      </c>
      <c r="F403" s="41">
        <f>IF(OR($J403="",$J$1=""),"",IF(INDEX(Tarifa!$G$13:$G$512,$J403)="","",IF(NOT(ISNUMBER(INDEX(Tarifa!$G$13:$G$512,$J403))),"Revisa",IF($J$1=1,INDEX(Tarifa!$G$13:$G$512,$J403),ROUND(ROUND(INDEX(Tarifa!$G$13:$G$512,$J403)*(1+$J$2/100)/$J$3,0)*$J$3,2)))))</f>
        <v/>
      </c>
      <c r="G403" s="42">
        <f>IF(OR(NOT(ISNUMBER(F403)),N(E403)&lt;=1),"",ROUND(F403/E403,3))</f>
        <v/>
      </c>
      <c r="H403" s="43">
        <f>IF($J403="","",IF(INDEX(Tarifa!$H$13:$H$512,$J403)="","",INDEX(Tarifa!$H$13:$H$512,$J403)))</f>
        <v/>
      </c>
      <c r="I403" s="41">
        <f>IF(OR($M$3="No",$M$3="",NOT(ISNUMBER(F403))),"",IF(NOT(ISNUMBER(H403)),"Falta IVA",ROUND(F403*(1+(H403+IF($M$3="Con IVA y recargo",IF(H403=21,5.2,IF(H403=10,1.4,IF(H403=4,0.5,0))),0))/100),2)))</f>
        <v/>
      </c>
      <c r="J403">
        <f>IFERROR(MATCH(393,Tarifa!$O$13:$O$512,0),"")</f>
        <v/>
      </c>
    </row>
    <row r="404" ht="17" customHeight="1">
      <c r="A404" s="38">
        <f>IF($J404="","",IFERROR(IF(INDEX(Tarifa!$E$13:$E$512,$J404)&amp;""=INDEX(Tarifa!$E$13:$E$512,$J403)&amp;"","",INDEX(Tarifa!$E$13:$E$512,$J404)&amp;""),""))</f>
        <v/>
      </c>
      <c r="B404" s="39">
        <f>IF($J404="","",INDEX(Tarifa!$A$13:$A$512,$J404)&amp;"")</f>
        <v/>
      </c>
      <c r="C404" s="39">
        <f>IF($J404="","",INDEX(Tarifa!$B$13:$B$512,$J404)&amp;"")</f>
        <v/>
      </c>
      <c r="D404" s="39">
        <f>IF($J404="","",INDEX(Tarifa!$C$13:$C$512,$J404)&amp;"")</f>
        <v/>
      </c>
      <c r="E404" s="40">
        <f>IF($J404="","",IF(INDEX(Tarifa!$D$13:$D$512,$J404)="","",INDEX(Tarifa!$D$13:$D$512,$J404)))</f>
        <v/>
      </c>
      <c r="F404" s="41">
        <f>IF(OR($J404="",$J$1=""),"",IF(INDEX(Tarifa!$G$13:$G$512,$J404)="","",IF(NOT(ISNUMBER(INDEX(Tarifa!$G$13:$G$512,$J404))),"Revisa",IF($J$1=1,INDEX(Tarifa!$G$13:$G$512,$J404),ROUND(ROUND(INDEX(Tarifa!$G$13:$G$512,$J404)*(1+$J$2/100)/$J$3,0)*$J$3,2)))))</f>
        <v/>
      </c>
      <c r="G404" s="42">
        <f>IF(OR(NOT(ISNUMBER(F404)),N(E404)&lt;=1),"",ROUND(F404/E404,3))</f>
        <v/>
      </c>
      <c r="H404" s="43">
        <f>IF($J404="","",IF(INDEX(Tarifa!$H$13:$H$512,$J404)="","",INDEX(Tarifa!$H$13:$H$512,$J404)))</f>
        <v/>
      </c>
      <c r="I404" s="41">
        <f>IF(OR($M$3="No",$M$3="",NOT(ISNUMBER(F404))),"",IF(NOT(ISNUMBER(H404)),"Falta IVA",ROUND(F404*(1+(H404+IF($M$3="Con IVA y recargo",IF(H404=21,5.2,IF(H404=10,1.4,IF(H404=4,0.5,0))),0))/100),2)))</f>
        <v/>
      </c>
      <c r="J404">
        <f>IFERROR(MATCH(394,Tarifa!$O$13:$O$512,0),"")</f>
        <v/>
      </c>
    </row>
    <row r="405" ht="17" customHeight="1">
      <c r="A405" s="38">
        <f>IF($J405="","",IFERROR(IF(INDEX(Tarifa!$E$13:$E$512,$J405)&amp;""=INDEX(Tarifa!$E$13:$E$512,$J404)&amp;"","",INDEX(Tarifa!$E$13:$E$512,$J405)&amp;""),""))</f>
        <v/>
      </c>
      <c r="B405" s="39">
        <f>IF($J405="","",INDEX(Tarifa!$A$13:$A$512,$J405)&amp;"")</f>
        <v/>
      </c>
      <c r="C405" s="39">
        <f>IF($J405="","",INDEX(Tarifa!$B$13:$B$512,$J405)&amp;"")</f>
        <v/>
      </c>
      <c r="D405" s="39">
        <f>IF($J405="","",INDEX(Tarifa!$C$13:$C$512,$J405)&amp;"")</f>
        <v/>
      </c>
      <c r="E405" s="40">
        <f>IF($J405="","",IF(INDEX(Tarifa!$D$13:$D$512,$J405)="","",INDEX(Tarifa!$D$13:$D$512,$J405)))</f>
        <v/>
      </c>
      <c r="F405" s="41">
        <f>IF(OR($J405="",$J$1=""),"",IF(INDEX(Tarifa!$G$13:$G$512,$J405)="","",IF(NOT(ISNUMBER(INDEX(Tarifa!$G$13:$G$512,$J405))),"Revisa",IF($J$1=1,INDEX(Tarifa!$G$13:$G$512,$J405),ROUND(ROUND(INDEX(Tarifa!$G$13:$G$512,$J405)*(1+$J$2/100)/$J$3,0)*$J$3,2)))))</f>
        <v/>
      </c>
      <c r="G405" s="42">
        <f>IF(OR(NOT(ISNUMBER(F405)),N(E405)&lt;=1),"",ROUND(F405/E405,3))</f>
        <v/>
      </c>
      <c r="H405" s="43">
        <f>IF($J405="","",IF(INDEX(Tarifa!$H$13:$H$512,$J405)="","",INDEX(Tarifa!$H$13:$H$512,$J405)))</f>
        <v/>
      </c>
      <c r="I405" s="41">
        <f>IF(OR($M$3="No",$M$3="",NOT(ISNUMBER(F405))),"",IF(NOT(ISNUMBER(H405)),"Falta IVA",ROUND(F405*(1+(H405+IF($M$3="Con IVA y recargo",IF(H405=21,5.2,IF(H405=10,1.4,IF(H405=4,0.5,0))),0))/100),2)))</f>
        <v/>
      </c>
      <c r="J405">
        <f>IFERROR(MATCH(395,Tarifa!$O$13:$O$512,0),"")</f>
        <v/>
      </c>
    </row>
    <row r="406" ht="17" customHeight="1">
      <c r="A406" s="38">
        <f>IF($J406="","",IFERROR(IF(INDEX(Tarifa!$E$13:$E$512,$J406)&amp;""=INDEX(Tarifa!$E$13:$E$512,$J405)&amp;"","",INDEX(Tarifa!$E$13:$E$512,$J406)&amp;""),""))</f>
        <v/>
      </c>
      <c r="B406" s="39">
        <f>IF($J406="","",INDEX(Tarifa!$A$13:$A$512,$J406)&amp;"")</f>
        <v/>
      </c>
      <c r="C406" s="39">
        <f>IF($J406="","",INDEX(Tarifa!$B$13:$B$512,$J406)&amp;"")</f>
        <v/>
      </c>
      <c r="D406" s="39">
        <f>IF($J406="","",INDEX(Tarifa!$C$13:$C$512,$J406)&amp;"")</f>
        <v/>
      </c>
      <c r="E406" s="40">
        <f>IF($J406="","",IF(INDEX(Tarifa!$D$13:$D$512,$J406)="","",INDEX(Tarifa!$D$13:$D$512,$J406)))</f>
        <v/>
      </c>
      <c r="F406" s="41">
        <f>IF(OR($J406="",$J$1=""),"",IF(INDEX(Tarifa!$G$13:$G$512,$J406)="","",IF(NOT(ISNUMBER(INDEX(Tarifa!$G$13:$G$512,$J406))),"Revisa",IF($J$1=1,INDEX(Tarifa!$G$13:$G$512,$J406),ROUND(ROUND(INDEX(Tarifa!$G$13:$G$512,$J406)*(1+$J$2/100)/$J$3,0)*$J$3,2)))))</f>
        <v/>
      </c>
      <c r="G406" s="42">
        <f>IF(OR(NOT(ISNUMBER(F406)),N(E406)&lt;=1),"",ROUND(F406/E406,3))</f>
        <v/>
      </c>
      <c r="H406" s="43">
        <f>IF($J406="","",IF(INDEX(Tarifa!$H$13:$H$512,$J406)="","",INDEX(Tarifa!$H$13:$H$512,$J406)))</f>
        <v/>
      </c>
      <c r="I406" s="41">
        <f>IF(OR($M$3="No",$M$3="",NOT(ISNUMBER(F406))),"",IF(NOT(ISNUMBER(H406)),"Falta IVA",ROUND(F406*(1+(H406+IF($M$3="Con IVA y recargo",IF(H406=21,5.2,IF(H406=10,1.4,IF(H406=4,0.5,0))),0))/100),2)))</f>
        <v/>
      </c>
      <c r="J406">
        <f>IFERROR(MATCH(396,Tarifa!$O$13:$O$512,0),"")</f>
        <v/>
      </c>
    </row>
    <row r="407" ht="17" customHeight="1">
      <c r="A407" s="38">
        <f>IF($J407="","",IFERROR(IF(INDEX(Tarifa!$E$13:$E$512,$J407)&amp;""=INDEX(Tarifa!$E$13:$E$512,$J406)&amp;"","",INDEX(Tarifa!$E$13:$E$512,$J407)&amp;""),""))</f>
        <v/>
      </c>
      <c r="B407" s="39">
        <f>IF($J407="","",INDEX(Tarifa!$A$13:$A$512,$J407)&amp;"")</f>
        <v/>
      </c>
      <c r="C407" s="39">
        <f>IF($J407="","",INDEX(Tarifa!$B$13:$B$512,$J407)&amp;"")</f>
        <v/>
      </c>
      <c r="D407" s="39">
        <f>IF($J407="","",INDEX(Tarifa!$C$13:$C$512,$J407)&amp;"")</f>
        <v/>
      </c>
      <c r="E407" s="40">
        <f>IF($J407="","",IF(INDEX(Tarifa!$D$13:$D$512,$J407)="","",INDEX(Tarifa!$D$13:$D$512,$J407)))</f>
        <v/>
      </c>
      <c r="F407" s="41">
        <f>IF(OR($J407="",$J$1=""),"",IF(INDEX(Tarifa!$G$13:$G$512,$J407)="","",IF(NOT(ISNUMBER(INDEX(Tarifa!$G$13:$G$512,$J407))),"Revisa",IF($J$1=1,INDEX(Tarifa!$G$13:$G$512,$J407),ROUND(ROUND(INDEX(Tarifa!$G$13:$G$512,$J407)*(1+$J$2/100)/$J$3,0)*$J$3,2)))))</f>
        <v/>
      </c>
      <c r="G407" s="42">
        <f>IF(OR(NOT(ISNUMBER(F407)),N(E407)&lt;=1),"",ROUND(F407/E407,3))</f>
        <v/>
      </c>
      <c r="H407" s="43">
        <f>IF($J407="","",IF(INDEX(Tarifa!$H$13:$H$512,$J407)="","",INDEX(Tarifa!$H$13:$H$512,$J407)))</f>
        <v/>
      </c>
      <c r="I407" s="41">
        <f>IF(OR($M$3="No",$M$3="",NOT(ISNUMBER(F407))),"",IF(NOT(ISNUMBER(H407)),"Falta IVA",ROUND(F407*(1+(H407+IF($M$3="Con IVA y recargo",IF(H407=21,5.2,IF(H407=10,1.4,IF(H407=4,0.5,0))),0))/100),2)))</f>
        <v/>
      </c>
      <c r="J407">
        <f>IFERROR(MATCH(397,Tarifa!$O$13:$O$512,0),"")</f>
        <v/>
      </c>
    </row>
    <row r="408" ht="17" customHeight="1">
      <c r="A408" s="38">
        <f>IF($J408="","",IFERROR(IF(INDEX(Tarifa!$E$13:$E$512,$J408)&amp;""=INDEX(Tarifa!$E$13:$E$512,$J407)&amp;"","",INDEX(Tarifa!$E$13:$E$512,$J408)&amp;""),""))</f>
        <v/>
      </c>
      <c r="B408" s="39">
        <f>IF($J408="","",INDEX(Tarifa!$A$13:$A$512,$J408)&amp;"")</f>
        <v/>
      </c>
      <c r="C408" s="39">
        <f>IF($J408="","",INDEX(Tarifa!$B$13:$B$512,$J408)&amp;"")</f>
        <v/>
      </c>
      <c r="D408" s="39">
        <f>IF($J408="","",INDEX(Tarifa!$C$13:$C$512,$J408)&amp;"")</f>
        <v/>
      </c>
      <c r="E408" s="40">
        <f>IF($J408="","",IF(INDEX(Tarifa!$D$13:$D$512,$J408)="","",INDEX(Tarifa!$D$13:$D$512,$J408)))</f>
        <v/>
      </c>
      <c r="F408" s="41">
        <f>IF(OR($J408="",$J$1=""),"",IF(INDEX(Tarifa!$G$13:$G$512,$J408)="","",IF(NOT(ISNUMBER(INDEX(Tarifa!$G$13:$G$512,$J408))),"Revisa",IF($J$1=1,INDEX(Tarifa!$G$13:$G$512,$J408),ROUND(ROUND(INDEX(Tarifa!$G$13:$G$512,$J408)*(1+$J$2/100)/$J$3,0)*$J$3,2)))))</f>
        <v/>
      </c>
      <c r="G408" s="42">
        <f>IF(OR(NOT(ISNUMBER(F408)),N(E408)&lt;=1),"",ROUND(F408/E408,3))</f>
        <v/>
      </c>
      <c r="H408" s="43">
        <f>IF($J408="","",IF(INDEX(Tarifa!$H$13:$H$512,$J408)="","",INDEX(Tarifa!$H$13:$H$512,$J408)))</f>
        <v/>
      </c>
      <c r="I408" s="41">
        <f>IF(OR($M$3="No",$M$3="",NOT(ISNUMBER(F408))),"",IF(NOT(ISNUMBER(H408)),"Falta IVA",ROUND(F408*(1+(H408+IF($M$3="Con IVA y recargo",IF(H408=21,5.2,IF(H408=10,1.4,IF(H408=4,0.5,0))),0))/100),2)))</f>
        <v/>
      </c>
      <c r="J408">
        <f>IFERROR(MATCH(398,Tarifa!$O$13:$O$512,0),"")</f>
        <v/>
      </c>
    </row>
    <row r="409" ht="17" customHeight="1">
      <c r="A409" s="38">
        <f>IF($J409="","",IFERROR(IF(INDEX(Tarifa!$E$13:$E$512,$J409)&amp;""=INDEX(Tarifa!$E$13:$E$512,$J408)&amp;"","",INDEX(Tarifa!$E$13:$E$512,$J409)&amp;""),""))</f>
        <v/>
      </c>
      <c r="B409" s="39">
        <f>IF($J409="","",INDEX(Tarifa!$A$13:$A$512,$J409)&amp;"")</f>
        <v/>
      </c>
      <c r="C409" s="39">
        <f>IF($J409="","",INDEX(Tarifa!$B$13:$B$512,$J409)&amp;"")</f>
        <v/>
      </c>
      <c r="D409" s="39">
        <f>IF($J409="","",INDEX(Tarifa!$C$13:$C$512,$J409)&amp;"")</f>
        <v/>
      </c>
      <c r="E409" s="40">
        <f>IF($J409="","",IF(INDEX(Tarifa!$D$13:$D$512,$J409)="","",INDEX(Tarifa!$D$13:$D$512,$J409)))</f>
        <v/>
      </c>
      <c r="F409" s="41">
        <f>IF(OR($J409="",$J$1=""),"",IF(INDEX(Tarifa!$G$13:$G$512,$J409)="","",IF(NOT(ISNUMBER(INDEX(Tarifa!$G$13:$G$512,$J409))),"Revisa",IF($J$1=1,INDEX(Tarifa!$G$13:$G$512,$J409),ROUND(ROUND(INDEX(Tarifa!$G$13:$G$512,$J409)*(1+$J$2/100)/$J$3,0)*$J$3,2)))))</f>
        <v/>
      </c>
      <c r="G409" s="42">
        <f>IF(OR(NOT(ISNUMBER(F409)),N(E409)&lt;=1),"",ROUND(F409/E409,3))</f>
        <v/>
      </c>
      <c r="H409" s="43">
        <f>IF($J409="","",IF(INDEX(Tarifa!$H$13:$H$512,$J409)="","",INDEX(Tarifa!$H$13:$H$512,$J409)))</f>
        <v/>
      </c>
      <c r="I409" s="41">
        <f>IF(OR($M$3="No",$M$3="",NOT(ISNUMBER(F409))),"",IF(NOT(ISNUMBER(H409)),"Falta IVA",ROUND(F409*(1+(H409+IF($M$3="Con IVA y recargo",IF(H409=21,5.2,IF(H409=10,1.4,IF(H409=4,0.5,0))),0))/100),2)))</f>
        <v/>
      </c>
      <c r="J409">
        <f>IFERROR(MATCH(399,Tarifa!$O$13:$O$512,0),"")</f>
        <v/>
      </c>
    </row>
    <row r="410" ht="17" customHeight="1">
      <c r="A410" s="38">
        <f>IF($J410="","",IFERROR(IF(INDEX(Tarifa!$E$13:$E$512,$J410)&amp;""=INDEX(Tarifa!$E$13:$E$512,$J409)&amp;"","",INDEX(Tarifa!$E$13:$E$512,$J410)&amp;""),""))</f>
        <v/>
      </c>
      <c r="B410" s="39">
        <f>IF($J410="","",INDEX(Tarifa!$A$13:$A$512,$J410)&amp;"")</f>
        <v/>
      </c>
      <c r="C410" s="39">
        <f>IF($J410="","",INDEX(Tarifa!$B$13:$B$512,$J410)&amp;"")</f>
        <v/>
      </c>
      <c r="D410" s="39">
        <f>IF($J410="","",INDEX(Tarifa!$C$13:$C$512,$J410)&amp;"")</f>
        <v/>
      </c>
      <c r="E410" s="40">
        <f>IF($J410="","",IF(INDEX(Tarifa!$D$13:$D$512,$J410)="","",INDEX(Tarifa!$D$13:$D$512,$J410)))</f>
        <v/>
      </c>
      <c r="F410" s="41">
        <f>IF(OR($J410="",$J$1=""),"",IF(INDEX(Tarifa!$G$13:$G$512,$J410)="","",IF(NOT(ISNUMBER(INDEX(Tarifa!$G$13:$G$512,$J410))),"Revisa",IF($J$1=1,INDEX(Tarifa!$G$13:$G$512,$J410),ROUND(ROUND(INDEX(Tarifa!$G$13:$G$512,$J410)*(1+$J$2/100)/$J$3,0)*$J$3,2)))))</f>
        <v/>
      </c>
      <c r="G410" s="42">
        <f>IF(OR(NOT(ISNUMBER(F410)),N(E410)&lt;=1),"",ROUND(F410/E410,3))</f>
        <v/>
      </c>
      <c r="H410" s="43">
        <f>IF($J410="","",IF(INDEX(Tarifa!$H$13:$H$512,$J410)="","",INDEX(Tarifa!$H$13:$H$512,$J410)))</f>
        <v/>
      </c>
      <c r="I410" s="41">
        <f>IF(OR($M$3="No",$M$3="",NOT(ISNUMBER(F410))),"",IF(NOT(ISNUMBER(H410)),"Falta IVA",ROUND(F410*(1+(H410+IF($M$3="Con IVA y recargo",IF(H410=21,5.2,IF(H410=10,1.4,IF(H410=4,0.5,0))),0))/100),2)))</f>
        <v/>
      </c>
      <c r="J410">
        <f>IFERROR(MATCH(400,Tarifa!$O$13:$O$512,0),"")</f>
        <v/>
      </c>
    </row>
    <row r="411" ht="17" customHeight="1">
      <c r="A411" s="38">
        <f>IF($J411="","",IFERROR(IF(INDEX(Tarifa!$E$13:$E$512,$J411)&amp;""=INDEX(Tarifa!$E$13:$E$512,$J410)&amp;"","",INDEX(Tarifa!$E$13:$E$512,$J411)&amp;""),""))</f>
        <v/>
      </c>
      <c r="B411" s="39">
        <f>IF($J411="","",INDEX(Tarifa!$A$13:$A$512,$J411)&amp;"")</f>
        <v/>
      </c>
      <c r="C411" s="39">
        <f>IF($J411="","",INDEX(Tarifa!$B$13:$B$512,$J411)&amp;"")</f>
        <v/>
      </c>
      <c r="D411" s="39">
        <f>IF($J411="","",INDEX(Tarifa!$C$13:$C$512,$J411)&amp;"")</f>
        <v/>
      </c>
      <c r="E411" s="40">
        <f>IF($J411="","",IF(INDEX(Tarifa!$D$13:$D$512,$J411)="","",INDEX(Tarifa!$D$13:$D$512,$J411)))</f>
        <v/>
      </c>
      <c r="F411" s="41">
        <f>IF(OR($J411="",$J$1=""),"",IF(INDEX(Tarifa!$G$13:$G$512,$J411)="","",IF(NOT(ISNUMBER(INDEX(Tarifa!$G$13:$G$512,$J411))),"Revisa",IF($J$1=1,INDEX(Tarifa!$G$13:$G$512,$J411),ROUND(ROUND(INDEX(Tarifa!$G$13:$G$512,$J411)*(1+$J$2/100)/$J$3,0)*$J$3,2)))))</f>
        <v/>
      </c>
      <c r="G411" s="42">
        <f>IF(OR(NOT(ISNUMBER(F411)),N(E411)&lt;=1),"",ROUND(F411/E411,3))</f>
        <v/>
      </c>
      <c r="H411" s="43">
        <f>IF($J411="","",IF(INDEX(Tarifa!$H$13:$H$512,$J411)="","",INDEX(Tarifa!$H$13:$H$512,$J411)))</f>
        <v/>
      </c>
      <c r="I411" s="41">
        <f>IF(OR($M$3="No",$M$3="",NOT(ISNUMBER(F411))),"",IF(NOT(ISNUMBER(H411)),"Falta IVA",ROUND(F411*(1+(H411+IF($M$3="Con IVA y recargo",IF(H411=21,5.2,IF(H411=10,1.4,IF(H411=4,0.5,0))),0))/100),2)))</f>
        <v/>
      </c>
      <c r="J411">
        <f>IFERROR(MATCH(401,Tarifa!$O$13:$O$512,0),"")</f>
        <v/>
      </c>
    </row>
    <row r="412" ht="17" customHeight="1">
      <c r="A412" s="38">
        <f>IF($J412="","",IFERROR(IF(INDEX(Tarifa!$E$13:$E$512,$J412)&amp;""=INDEX(Tarifa!$E$13:$E$512,$J411)&amp;"","",INDEX(Tarifa!$E$13:$E$512,$J412)&amp;""),""))</f>
        <v/>
      </c>
      <c r="B412" s="39">
        <f>IF($J412="","",INDEX(Tarifa!$A$13:$A$512,$J412)&amp;"")</f>
        <v/>
      </c>
      <c r="C412" s="39">
        <f>IF($J412="","",INDEX(Tarifa!$B$13:$B$512,$J412)&amp;"")</f>
        <v/>
      </c>
      <c r="D412" s="39">
        <f>IF($J412="","",INDEX(Tarifa!$C$13:$C$512,$J412)&amp;"")</f>
        <v/>
      </c>
      <c r="E412" s="40">
        <f>IF($J412="","",IF(INDEX(Tarifa!$D$13:$D$512,$J412)="","",INDEX(Tarifa!$D$13:$D$512,$J412)))</f>
        <v/>
      </c>
      <c r="F412" s="41">
        <f>IF(OR($J412="",$J$1=""),"",IF(INDEX(Tarifa!$G$13:$G$512,$J412)="","",IF(NOT(ISNUMBER(INDEX(Tarifa!$G$13:$G$512,$J412))),"Revisa",IF($J$1=1,INDEX(Tarifa!$G$13:$G$512,$J412),ROUND(ROUND(INDEX(Tarifa!$G$13:$G$512,$J412)*(1+$J$2/100)/$J$3,0)*$J$3,2)))))</f>
        <v/>
      </c>
      <c r="G412" s="42">
        <f>IF(OR(NOT(ISNUMBER(F412)),N(E412)&lt;=1),"",ROUND(F412/E412,3))</f>
        <v/>
      </c>
      <c r="H412" s="43">
        <f>IF($J412="","",IF(INDEX(Tarifa!$H$13:$H$512,$J412)="","",INDEX(Tarifa!$H$13:$H$512,$J412)))</f>
        <v/>
      </c>
      <c r="I412" s="41">
        <f>IF(OR($M$3="No",$M$3="",NOT(ISNUMBER(F412))),"",IF(NOT(ISNUMBER(H412)),"Falta IVA",ROUND(F412*(1+(H412+IF($M$3="Con IVA y recargo",IF(H412=21,5.2,IF(H412=10,1.4,IF(H412=4,0.5,0))),0))/100),2)))</f>
        <v/>
      </c>
      <c r="J412">
        <f>IFERROR(MATCH(402,Tarifa!$O$13:$O$512,0),"")</f>
        <v/>
      </c>
    </row>
    <row r="413" ht="17" customHeight="1">
      <c r="A413" s="38">
        <f>IF($J413="","",IFERROR(IF(INDEX(Tarifa!$E$13:$E$512,$J413)&amp;""=INDEX(Tarifa!$E$13:$E$512,$J412)&amp;"","",INDEX(Tarifa!$E$13:$E$512,$J413)&amp;""),""))</f>
        <v/>
      </c>
      <c r="B413" s="39">
        <f>IF($J413="","",INDEX(Tarifa!$A$13:$A$512,$J413)&amp;"")</f>
        <v/>
      </c>
      <c r="C413" s="39">
        <f>IF($J413="","",INDEX(Tarifa!$B$13:$B$512,$J413)&amp;"")</f>
        <v/>
      </c>
      <c r="D413" s="39">
        <f>IF($J413="","",INDEX(Tarifa!$C$13:$C$512,$J413)&amp;"")</f>
        <v/>
      </c>
      <c r="E413" s="40">
        <f>IF($J413="","",IF(INDEX(Tarifa!$D$13:$D$512,$J413)="","",INDEX(Tarifa!$D$13:$D$512,$J413)))</f>
        <v/>
      </c>
      <c r="F413" s="41">
        <f>IF(OR($J413="",$J$1=""),"",IF(INDEX(Tarifa!$G$13:$G$512,$J413)="","",IF(NOT(ISNUMBER(INDEX(Tarifa!$G$13:$G$512,$J413))),"Revisa",IF($J$1=1,INDEX(Tarifa!$G$13:$G$512,$J413),ROUND(ROUND(INDEX(Tarifa!$G$13:$G$512,$J413)*(1+$J$2/100)/$J$3,0)*$J$3,2)))))</f>
        <v/>
      </c>
      <c r="G413" s="42">
        <f>IF(OR(NOT(ISNUMBER(F413)),N(E413)&lt;=1),"",ROUND(F413/E413,3))</f>
        <v/>
      </c>
      <c r="H413" s="43">
        <f>IF($J413="","",IF(INDEX(Tarifa!$H$13:$H$512,$J413)="","",INDEX(Tarifa!$H$13:$H$512,$J413)))</f>
        <v/>
      </c>
      <c r="I413" s="41">
        <f>IF(OR($M$3="No",$M$3="",NOT(ISNUMBER(F413))),"",IF(NOT(ISNUMBER(H413)),"Falta IVA",ROUND(F413*(1+(H413+IF($M$3="Con IVA y recargo",IF(H413=21,5.2,IF(H413=10,1.4,IF(H413=4,0.5,0))),0))/100),2)))</f>
        <v/>
      </c>
      <c r="J413">
        <f>IFERROR(MATCH(403,Tarifa!$O$13:$O$512,0),"")</f>
        <v/>
      </c>
    </row>
    <row r="414" ht="17" customHeight="1">
      <c r="A414" s="38">
        <f>IF($J414="","",IFERROR(IF(INDEX(Tarifa!$E$13:$E$512,$J414)&amp;""=INDEX(Tarifa!$E$13:$E$512,$J413)&amp;"","",INDEX(Tarifa!$E$13:$E$512,$J414)&amp;""),""))</f>
        <v/>
      </c>
      <c r="B414" s="39">
        <f>IF($J414="","",INDEX(Tarifa!$A$13:$A$512,$J414)&amp;"")</f>
        <v/>
      </c>
      <c r="C414" s="39">
        <f>IF($J414="","",INDEX(Tarifa!$B$13:$B$512,$J414)&amp;"")</f>
        <v/>
      </c>
      <c r="D414" s="39">
        <f>IF($J414="","",INDEX(Tarifa!$C$13:$C$512,$J414)&amp;"")</f>
        <v/>
      </c>
      <c r="E414" s="40">
        <f>IF($J414="","",IF(INDEX(Tarifa!$D$13:$D$512,$J414)="","",INDEX(Tarifa!$D$13:$D$512,$J414)))</f>
        <v/>
      </c>
      <c r="F414" s="41">
        <f>IF(OR($J414="",$J$1=""),"",IF(INDEX(Tarifa!$G$13:$G$512,$J414)="","",IF(NOT(ISNUMBER(INDEX(Tarifa!$G$13:$G$512,$J414))),"Revisa",IF($J$1=1,INDEX(Tarifa!$G$13:$G$512,$J414),ROUND(ROUND(INDEX(Tarifa!$G$13:$G$512,$J414)*(1+$J$2/100)/$J$3,0)*$J$3,2)))))</f>
        <v/>
      </c>
      <c r="G414" s="42">
        <f>IF(OR(NOT(ISNUMBER(F414)),N(E414)&lt;=1),"",ROUND(F414/E414,3))</f>
        <v/>
      </c>
      <c r="H414" s="43">
        <f>IF($J414="","",IF(INDEX(Tarifa!$H$13:$H$512,$J414)="","",INDEX(Tarifa!$H$13:$H$512,$J414)))</f>
        <v/>
      </c>
      <c r="I414" s="41">
        <f>IF(OR($M$3="No",$M$3="",NOT(ISNUMBER(F414))),"",IF(NOT(ISNUMBER(H414)),"Falta IVA",ROUND(F414*(1+(H414+IF($M$3="Con IVA y recargo",IF(H414=21,5.2,IF(H414=10,1.4,IF(H414=4,0.5,0))),0))/100),2)))</f>
        <v/>
      </c>
      <c r="J414">
        <f>IFERROR(MATCH(404,Tarifa!$O$13:$O$512,0),"")</f>
        <v/>
      </c>
    </row>
    <row r="415" ht="17" customHeight="1">
      <c r="A415" s="38">
        <f>IF($J415="","",IFERROR(IF(INDEX(Tarifa!$E$13:$E$512,$J415)&amp;""=INDEX(Tarifa!$E$13:$E$512,$J414)&amp;"","",INDEX(Tarifa!$E$13:$E$512,$J415)&amp;""),""))</f>
        <v/>
      </c>
      <c r="B415" s="39">
        <f>IF($J415="","",INDEX(Tarifa!$A$13:$A$512,$J415)&amp;"")</f>
        <v/>
      </c>
      <c r="C415" s="39">
        <f>IF($J415="","",INDEX(Tarifa!$B$13:$B$512,$J415)&amp;"")</f>
        <v/>
      </c>
      <c r="D415" s="39">
        <f>IF($J415="","",INDEX(Tarifa!$C$13:$C$512,$J415)&amp;"")</f>
        <v/>
      </c>
      <c r="E415" s="40">
        <f>IF($J415="","",IF(INDEX(Tarifa!$D$13:$D$512,$J415)="","",INDEX(Tarifa!$D$13:$D$512,$J415)))</f>
        <v/>
      </c>
      <c r="F415" s="41">
        <f>IF(OR($J415="",$J$1=""),"",IF(INDEX(Tarifa!$G$13:$G$512,$J415)="","",IF(NOT(ISNUMBER(INDEX(Tarifa!$G$13:$G$512,$J415))),"Revisa",IF($J$1=1,INDEX(Tarifa!$G$13:$G$512,$J415),ROUND(ROUND(INDEX(Tarifa!$G$13:$G$512,$J415)*(1+$J$2/100)/$J$3,0)*$J$3,2)))))</f>
        <v/>
      </c>
      <c r="G415" s="42">
        <f>IF(OR(NOT(ISNUMBER(F415)),N(E415)&lt;=1),"",ROUND(F415/E415,3))</f>
        <v/>
      </c>
      <c r="H415" s="43">
        <f>IF($J415="","",IF(INDEX(Tarifa!$H$13:$H$512,$J415)="","",INDEX(Tarifa!$H$13:$H$512,$J415)))</f>
        <v/>
      </c>
      <c r="I415" s="41">
        <f>IF(OR($M$3="No",$M$3="",NOT(ISNUMBER(F415))),"",IF(NOT(ISNUMBER(H415)),"Falta IVA",ROUND(F415*(1+(H415+IF($M$3="Con IVA y recargo",IF(H415=21,5.2,IF(H415=10,1.4,IF(H415=4,0.5,0))),0))/100),2)))</f>
        <v/>
      </c>
      <c r="J415">
        <f>IFERROR(MATCH(405,Tarifa!$O$13:$O$512,0),"")</f>
        <v/>
      </c>
    </row>
    <row r="416" ht="17" customHeight="1">
      <c r="A416" s="38">
        <f>IF($J416="","",IFERROR(IF(INDEX(Tarifa!$E$13:$E$512,$J416)&amp;""=INDEX(Tarifa!$E$13:$E$512,$J415)&amp;"","",INDEX(Tarifa!$E$13:$E$512,$J416)&amp;""),""))</f>
        <v/>
      </c>
      <c r="B416" s="39">
        <f>IF($J416="","",INDEX(Tarifa!$A$13:$A$512,$J416)&amp;"")</f>
        <v/>
      </c>
      <c r="C416" s="39">
        <f>IF($J416="","",INDEX(Tarifa!$B$13:$B$512,$J416)&amp;"")</f>
        <v/>
      </c>
      <c r="D416" s="39">
        <f>IF($J416="","",INDEX(Tarifa!$C$13:$C$512,$J416)&amp;"")</f>
        <v/>
      </c>
      <c r="E416" s="40">
        <f>IF($J416="","",IF(INDEX(Tarifa!$D$13:$D$512,$J416)="","",INDEX(Tarifa!$D$13:$D$512,$J416)))</f>
        <v/>
      </c>
      <c r="F416" s="41">
        <f>IF(OR($J416="",$J$1=""),"",IF(INDEX(Tarifa!$G$13:$G$512,$J416)="","",IF(NOT(ISNUMBER(INDEX(Tarifa!$G$13:$G$512,$J416))),"Revisa",IF($J$1=1,INDEX(Tarifa!$G$13:$G$512,$J416),ROUND(ROUND(INDEX(Tarifa!$G$13:$G$512,$J416)*(1+$J$2/100)/$J$3,0)*$J$3,2)))))</f>
        <v/>
      </c>
      <c r="G416" s="42">
        <f>IF(OR(NOT(ISNUMBER(F416)),N(E416)&lt;=1),"",ROUND(F416/E416,3))</f>
        <v/>
      </c>
      <c r="H416" s="43">
        <f>IF($J416="","",IF(INDEX(Tarifa!$H$13:$H$512,$J416)="","",INDEX(Tarifa!$H$13:$H$512,$J416)))</f>
        <v/>
      </c>
      <c r="I416" s="41">
        <f>IF(OR($M$3="No",$M$3="",NOT(ISNUMBER(F416))),"",IF(NOT(ISNUMBER(H416)),"Falta IVA",ROUND(F416*(1+(H416+IF($M$3="Con IVA y recargo",IF(H416=21,5.2,IF(H416=10,1.4,IF(H416=4,0.5,0))),0))/100),2)))</f>
        <v/>
      </c>
      <c r="J416">
        <f>IFERROR(MATCH(406,Tarifa!$O$13:$O$512,0),"")</f>
        <v/>
      </c>
    </row>
    <row r="417" ht="17" customHeight="1">
      <c r="A417" s="38">
        <f>IF($J417="","",IFERROR(IF(INDEX(Tarifa!$E$13:$E$512,$J417)&amp;""=INDEX(Tarifa!$E$13:$E$512,$J416)&amp;"","",INDEX(Tarifa!$E$13:$E$512,$J417)&amp;""),""))</f>
        <v/>
      </c>
      <c r="B417" s="39">
        <f>IF($J417="","",INDEX(Tarifa!$A$13:$A$512,$J417)&amp;"")</f>
        <v/>
      </c>
      <c r="C417" s="39">
        <f>IF($J417="","",INDEX(Tarifa!$B$13:$B$512,$J417)&amp;"")</f>
        <v/>
      </c>
      <c r="D417" s="39">
        <f>IF($J417="","",INDEX(Tarifa!$C$13:$C$512,$J417)&amp;"")</f>
        <v/>
      </c>
      <c r="E417" s="40">
        <f>IF($J417="","",IF(INDEX(Tarifa!$D$13:$D$512,$J417)="","",INDEX(Tarifa!$D$13:$D$512,$J417)))</f>
        <v/>
      </c>
      <c r="F417" s="41">
        <f>IF(OR($J417="",$J$1=""),"",IF(INDEX(Tarifa!$G$13:$G$512,$J417)="","",IF(NOT(ISNUMBER(INDEX(Tarifa!$G$13:$G$512,$J417))),"Revisa",IF($J$1=1,INDEX(Tarifa!$G$13:$G$512,$J417),ROUND(ROUND(INDEX(Tarifa!$G$13:$G$512,$J417)*(1+$J$2/100)/$J$3,0)*$J$3,2)))))</f>
        <v/>
      </c>
      <c r="G417" s="42">
        <f>IF(OR(NOT(ISNUMBER(F417)),N(E417)&lt;=1),"",ROUND(F417/E417,3))</f>
        <v/>
      </c>
      <c r="H417" s="43">
        <f>IF($J417="","",IF(INDEX(Tarifa!$H$13:$H$512,$J417)="","",INDEX(Tarifa!$H$13:$H$512,$J417)))</f>
        <v/>
      </c>
      <c r="I417" s="41">
        <f>IF(OR($M$3="No",$M$3="",NOT(ISNUMBER(F417))),"",IF(NOT(ISNUMBER(H417)),"Falta IVA",ROUND(F417*(1+(H417+IF($M$3="Con IVA y recargo",IF(H417=21,5.2,IF(H417=10,1.4,IF(H417=4,0.5,0))),0))/100),2)))</f>
        <v/>
      </c>
      <c r="J417">
        <f>IFERROR(MATCH(407,Tarifa!$O$13:$O$512,0),"")</f>
        <v/>
      </c>
    </row>
    <row r="418" ht="17" customHeight="1">
      <c r="A418" s="38">
        <f>IF($J418="","",IFERROR(IF(INDEX(Tarifa!$E$13:$E$512,$J418)&amp;""=INDEX(Tarifa!$E$13:$E$512,$J417)&amp;"","",INDEX(Tarifa!$E$13:$E$512,$J418)&amp;""),""))</f>
        <v/>
      </c>
      <c r="B418" s="39">
        <f>IF($J418="","",INDEX(Tarifa!$A$13:$A$512,$J418)&amp;"")</f>
        <v/>
      </c>
      <c r="C418" s="39">
        <f>IF($J418="","",INDEX(Tarifa!$B$13:$B$512,$J418)&amp;"")</f>
        <v/>
      </c>
      <c r="D418" s="39">
        <f>IF($J418="","",INDEX(Tarifa!$C$13:$C$512,$J418)&amp;"")</f>
        <v/>
      </c>
      <c r="E418" s="40">
        <f>IF($J418="","",IF(INDEX(Tarifa!$D$13:$D$512,$J418)="","",INDEX(Tarifa!$D$13:$D$512,$J418)))</f>
        <v/>
      </c>
      <c r="F418" s="41">
        <f>IF(OR($J418="",$J$1=""),"",IF(INDEX(Tarifa!$G$13:$G$512,$J418)="","",IF(NOT(ISNUMBER(INDEX(Tarifa!$G$13:$G$512,$J418))),"Revisa",IF($J$1=1,INDEX(Tarifa!$G$13:$G$512,$J418),ROUND(ROUND(INDEX(Tarifa!$G$13:$G$512,$J418)*(1+$J$2/100)/$J$3,0)*$J$3,2)))))</f>
        <v/>
      </c>
      <c r="G418" s="42">
        <f>IF(OR(NOT(ISNUMBER(F418)),N(E418)&lt;=1),"",ROUND(F418/E418,3))</f>
        <v/>
      </c>
      <c r="H418" s="43">
        <f>IF($J418="","",IF(INDEX(Tarifa!$H$13:$H$512,$J418)="","",INDEX(Tarifa!$H$13:$H$512,$J418)))</f>
        <v/>
      </c>
      <c r="I418" s="41">
        <f>IF(OR($M$3="No",$M$3="",NOT(ISNUMBER(F418))),"",IF(NOT(ISNUMBER(H418)),"Falta IVA",ROUND(F418*(1+(H418+IF($M$3="Con IVA y recargo",IF(H418=21,5.2,IF(H418=10,1.4,IF(H418=4,0.5,0))),0))/100),2)))</f>
        <v/>
      </c>
      <c r="J418">
        <f>IFERROR(MATCH(408,Tarifa!$O$13:$O$512,0),"")</f>
        <v/>
      </c>
    </row>
    <row r="419" ht="17" customHeight="1">
      <c r="A419" s="38">
        <f>IF($J419="","",IFERROR(IF(INDEX(Tarifa!$E$13:$E$512,$J419)&amp;""=INDEX(Tarifa!$E$13:$E$512,$J418)&amp;"","",INDEX(Tarifa!$E$13:$E$512,$J419)&amp;""),""))</f>
        <v/>
      </c>
      <c r="B419" s="39">
        <f>IF($J419="","",INDEX(Tarifa!$A$13:$A$512,$J419)&amp;"")</f>
        <v/>
      </c>
      <c r="C419" s="39">
        <f>IF($J419="","",INDEX(Tarifa!$B$13:$B$512,$J419)&amp;"")</f>
        <v/>
      </c>
      <c r="D419" s="39">
        <f>IF($J419="","",INDEX(Tarifa!$C$13:$C$512,$J419)&amp;"")</f>
        <v/>
      </c>
      <c r="E419" s="40">
        <f>IF($J419="","",IF(INDEX(Tarifa!$D$13:$D$512,$J419)="","",INDEX(Tarifa!$D$13:$D$512,$J419)))</f>
        <v/>
      </c>
      <c r="F419" s="41">
        <f>IF(OR($J419="",$J$1=""),"",IF(INDEX(Tarifa!$G$13:$G$512,$J419)="","",IF(NOT(ISNUMBER(INDEX(Tarifa!$G$13:$G$512,$J419))),"Revisa",IF($J$1=1,INDEX(Tarifa!$G$13:$G$512,$J419),ROUND(ROUND(INDEX(Tarifa!$G$13:$G$512,$J419)*(1+$J$2/100)/$J$3,0)*$J$3,2)))))</f>
        <v/>
      </c>
      <c r="G419" s="42">
        <f>IF(OR(NOT(ISNUMBER(F419)),N(E419)&lt;=1),"",ROUND(F419/E419,3))</f>
        <v/>
      </c>
      <c r="H419" s="43">
        <f>IF($J419="","",IF(INDEX(Tarifa!$H$13:$H$512,$J419)="","",INDEX(Tarifa!$H$13:$H$512,$J419)))</f>
        <v/>
      </c>
      <c r="I419" s="41">
        <f>IF(OR($M$3="No",$M$3="",NOT(ISNUMBER(F419))),"",IF(NOT(ISNUMBER(H419)),"Falta IVA",ROUND(F419*(1+(H419+IF($M$3="Con IVA y recargo",IF(H419=21,5.2,IF(H419=10,1.4,IF(H419=4,0.5,0))),0))/100),2)))</f>
        <v/>
      </c>
      <c r="J419">
        <f>IFERROR(MATCH(409,Tarifa!$O$13:$O$512,0),"")</f>
        <v/>
      </c>
    </row>
    <row r="420" ht="17" customHeight="1">
      <c r="A420" s="38">
        <f>IF($J420="","",IFERROR(IF(INDEX(Tarifa!$E$13:$E$512,$J420)&amp;""=INDEX(Tarifa!$E$13:$E$512,$J419)&amp;"","",INDEX(Tarifa!$E$13:$E$512,$J420)&amp;""),""))</f>
        <v/>
      </c>
      <c r="B420" s="39">
        <f>IF($J420="","",INDEX(Tarifa!$A$13:$A$512,$J420)&amp;"")</f>
        <v/>
      </c>
      <c r="C420" s="39">
        <f>IF($J420="","",INDEX(Tarifa!$B$13:$B$512,$J420)&amp;"")</f>
        <v/>
      </c>
      <c r="D420" s="39">
        <f>IF($J420="","",INDEX(Tarifa!$C$13:$C$512,$J420)&amp;"")</f>
        <v/>
      </c>
      <c r="E420" s="40">
        <f>IF($J420="","",IF(INDEX(Tarifa!$D$13:$D$512,$J420)="","",INDEX(Tarifa!$D$13:$D$512,$J420)))</f>
        <v/>
      </c>
      <c r="F420" s="41">
        <f>IF(OR($J420="",$J$1=""),"",IF(INDEX(Tarifa!$G$13:$G$512,$J420)="","",IF(NOT(ISNUMBER(INDEX(Tarifa!$G$13:$G$512,$J420))),"Revisa",IF($J$1=1,INDEX(Tarifa!$G$13:$G$512,$J420),ROUND(ROUND(INDEX(Tarifa!$G$13:$G$512,$J420)*(1+$J$2/100)/$J$3,0)*$J$3,2)))))</f>
        <v/>
      </c>
      <c r="G420" s="42">
        <f>IF(OR(NOT(ISNUMBER(F420)),N(E420)&lt;=1),"",ROUND(F420/E420,3))</f>
        <v/>
      </c>
      <c r="H420" s="43">
        <f>IF($J420="","",IF(INDEX(Tarifa!$H$13:$H$512,$J420)="","",INDEX(Tarifa!$H$13:$H$512,$J420)))</f>
        <v/>
      </c>
      <c r="I420" s="41">
        <f>IF(OR($M$3="No",$M$3="",NOT(ISNUMBER(F420))),"",IF(NOT(ISNUMBER(H420)),"Falta IVA",ROUND(F420*(1+(H420+IF($M$3="Con IVA y recargo",IF(H420=21,5.2,IF(H420=10,1.4,IF(H420=4,0.5,0))),0))/100),2)))</f>
        <v/>
      </c>
      <c r="J420">
        <f>IFERROR(MATCH(410,Tarifa!$O$13:$O$512,0),"")</f>
        <v/>
      </c>
    </row>
    <row r="421" ht="17" customHeight="1">
      <c r="A421" s="38">
        <f>IF($J421="","",IFERROR(IF(INDEX(Tarifa!$E$13:$E$512,$J421)&amp;""=INDEX(Tarifa!$E$13:$E$512,$J420)&amp;"","",INDEX(Tarifa!$E$13:$E$512,$J421)&amp;""),""))</f>
        <v/>
      </c>
      <c r="B421" s="39">
        <f>IF($J421="","",INDEX(Tarifa!$A$13:$A$512,$J421)&amp;"")</f>
        <v/>
      </c>
      <c r="C421" s="39">
        <f>IF($J421="","",INDEX(Tarifa!$B$13:$B$512,$J421)&amp;"")</f>
        <v/>
      </c>
      <c r="D421" s="39">
        <f>IF($J421="","",INDEX(Tarifa!$C$13:$C$512,$J421)&amp;"")</f>
        <v/>
      </c>
      <c r="E421" s="40">
        <f>IF($J421="","",IF(INDEX(Tarifa!$D$13:$D$512,$J421)="","",INDEX(Tarifa!$D$13:$D$512,$J421)))</f>
        <v/>
      </c>
      <c r="F421" s="41">
        <f>IF(OR($J421="",$J$1=""),"",IF(INDEX(Tarifa!$G$13:$G$512,$J421)="","",IF(NOT(ISNUMBER(INDEX(Tarifa!$G$13:$G$512,$J421))),"Revisa",IF($J$1=1,INDEX(Tarifa!$G$13:$G$512,$J421),ROUND(ROUND(INDEX(Tarifa!$G$13:$G$512,$J421)*(1+$J$2/100)/$J$3,0)*$J$3,2)))))</f>
        <v/>
      </c>
      <c r="G421" s="42">
        <f>IF(OR(NOT(ISNUMBER(F421)),N(E421)&lt;=1),"",ROUND(F421/E421,3))</f>
        <v/>
      </c>
      <c r="H421" s="43">
        <f>IF($J421="","",IF(INDEX(Tarifa!$H$13:$H$512,$J421)="","",INDEX(Tarifa!$H$13:$H$512,$J421)))</f>
        <v/>
      </c>
      <c r="I421" s="41">
        <f>IF(OR($M$3="No",$M$3="",NOT(ISNUMBER(F421))),"",IF(NOT(ISNUMBER(H421)),"Falta IVA",ROUND(F421*(1+(H421+IF($M$3="Con IVA y recargo",IF(H421=21,5.2,IF(H421=10,1.4,IF(H421=4,0.5,0))),0))/100),2)))</f>
        <v/>
      </c>
      <c r="J421">
        <f>IFERROR(MATCH(411,Tarifa!$O$13:$O$512,0),"")</f>
        <v/>
      </c>
    </row>
    <row r="422" ht="17" customHeight="1">
      <c r="A422" s="38">
        <f>IF($J422="","",IFERROR(IF(INDEX(Tarifa!$E$13:$E$512,$J422)&amp;""=INDEX(Tarifa!$E$13:$E$512,$J421)&amp;"","",INDEX(Tarifa!$E$13:$E$512,$J422)&amp;""),""))</f>
        <v/>
      </c>
      <c r="B422" s="39">
        <f>IF($J422="","",INDEX(Tarifa!$A$13:$A$512,$J422)&amp;"")</f>
        <v/>
      </c>
      <c r="C422" s="39">
        <f>IF($J422="","",INDEX(Tarifa!$B$13:$B$512,$J422)&amp;"")</f>
        <v/>
      </c>
      <c r="D422" s="39">
        <f>IF($J422="","",INDEX(Tarifa!$C$13:$C$512,$J422)&amp;"")</f>
        <v/>
      </c>
      <c r="E422" s="40">
        <f>IF($J422="","",IF(INDEX(Tarifa!$D$13:$D$512,$J422)="","",INDEX(Tarifa!$D$13:$D$512,$J422)))</f>
        <v/>
      </c>
      <c r="F422" s="41">
        <f>IF(OR($J422="",$J$1=""),"",IF(INDEX(Tarifa!$G$13:$G$512,$J422)="","",IF(NOT(ISNUMBER(INDEX(Tarifa!$G$13:$G$512,$J422))),"Revisa",IF($J$1=1,INDEX(Tarifa!$G$13:$G$512,$J422),ROUND(ROUND(INDEX(Tarifa!$G$13:$G$512,$J422)*(1+$J$2/100)/$J$3,0)*$J$3,2)))))</f>
        <v/>
      </c>
      <c r="G422" s="42">
        <f>IF(OR(NOT(ISNUMBER(F422)),N(E422)&lt;=1),"",ROUND(F422/E422,3))</f>
        <v/>
      </c>
      <c r="H422" s="43">
        <f>IF($J422="","",IF(INDEX(Tarifa!$H$13:$H$512,$J422)="","",INDEX(Tarifa!$H$13:$H$512,$J422)))</f>
        <v/>
      </c>
      <c r="I422" s="41">
        <f>IF(OR($M$3="No",$M$3="",NOT(ISNUMBER(F422))),"",IF(NOT(ISNUMBER(H422)),"Falta IVA",ROUND(F422*(1+(H422+IF($M$3="Con IVA y recargo",IF(H422=21,5.2,IF(H422=10,1.4,IF(H422=4,0.5,0))),0))/100),2)))</f>
        <v/>
      </c>
      <c r="J422">
        <f>IFERROR(MATCH(412,Tarifa!$O$13:$O$512,0),"")</f>
        <v/>
      </c>
    </row>
    <row r="423" ht="17" customHeight="1">
      <c r="A423" s="38">
        <f>IF($J423="","",IFERROR(IF(INDEX(Tarifa!$E$13:$E$512,$J423)&amp;""=INDEX(Tarifa!$E$13:$E$512,$J422)&amp;"","",INDEX(Tarifa!$E$13:$E$512,$J423)&amp;""),""))</f>
        <v/>
      </c>
      <c r="B423" s="39">
        <f>IF($J423="","",INDEX(Tarifa!$A$13:$A$512,$J423)&amp;"")</f>
        <v/>
      </c>
      <c r="C423" s="39">
        <f>IF($J423="","",INDEX(Tarifa!$B$13:$B$512,$J423)&amp;"")</f>
        <v/>
      </c>
      <c r="D423" s="39">
        <f>IF($J423="","",INDEX(Tarifa!$C$13:$C$512,$J423)&amp;"")</f>
        <v/>
      </c>
      <c r="E423" s="40">
        <f>IF($J423="","",IF(INDEX(Tarifa!$D$13:$D$512,$J423)="","",INDEX(Tarifa!$D$13:$D$512,$J423)))</f>
        <v/>
      </c>
      <c r="F423" s="41">
        <f>IF(OR($J423="",$J$1=""),"",IF(INDEX(Tarifa!$G$13:$G$512,$J423)="","",IF(NOT(ISNUMBER(INDEX(Tarifa!$G$13:$G$512,$J423))),"Revisa",IF($J$1=1,INDEX(Tarifa!$G$13:$G$512,$J423),ROUND(ROUND(INDEX(Tarifa!$G$13:$G$512,$J423)*(1+$J$2/100)/$J$3,0)*$J$3,2)))))</f>
        <v/>
      </c>
      <c r="G423" s="42">
        <f>IF(OR(NOT(ISNUMBER(F423)),N(E423)&lt;=1),"",ROUND(F423/E423,3))</f>
        <v/>
      </c>
      <c r="H423" s="43">
        <f>IF($J423="","",IF(INDEX(Tarifa!$H$13:$H$512,$J423)="","",INDEX(Tarifa!$H$13:$H$512,$J423)))</f>
        <v/>
      </c>
      <c r="I423" s="41">
        <f>IF(OR($M$3="No",$M$3="",NOT(ISNUMBER(F423))),"",IF(NOT(ISNUMBER(H423)),"Falta IVA",ROUND(F423*(1+(H423+IF($M$3="Con IVA y recargo",IF(H423=21,5.2,IF(H423=10,1.4,IF(H423=4,0.5,0))),0))/100),2)))</f>
        <v/>
      </c>
      <c r="J423">
        <f>IFERROR(MATCH(413,Tarifa!$O$13:$O$512,0),"")</f>
        <v/>
      </c>
    </row>
    <row r="424" ht="17" customHeight="1">
      <c r="A424" s="38">
        <f>IF($J424="","",IFERROR(IF(INDEX(Tarifa!$E$13:$E$512,$J424)&amp;""=INDEX(Tarifa!$E$13:$E$512,$J423)&amp;"","",INDEX(Tarifa!$E$13:$E$512,$J424)&amp;""),""))</f>
        <v/>
      </c>
      <c r="B424" s="39">
        <f>IF($J424="","",INDEX(Tarifa!$A$13:$A$512,$J424)&amp;"")</f>
        <v/>
      </c>
      <c r="C424" s="39">
        <f>IF($J424="","",INDEX(Tarifa!$B$13:$B$512,$J424)&amp;"")</f>
        <v/>
      </c>
      <c r="D424" s="39">
        <f>IF($J424="","",INDEX(Tarifa!$C$13:$C$512,$J424)&amp;"")</f>
        <v/>
      </c>
      <c r="E424" s="40">
        <f>IF($J424="","",IF(INDEX(Tarifa!$D$13:$D$512,$J424)="","",INDEX(Tarifa!$D$13:$D$512,$J424)))</f>
        <v/>
      </c>
      <c r="F424" s="41">
        <f>IF(OR($J424="",$J$1=""),"",IF(INDEX(Tarifa!$G$13:$G$512,$J424)="","",IF(NOT(ISNUMBER(INDEX(Tarifa!$G$13:$G$512,$J424))),"Revisa",IF($J$1=1,INDEX(Tarifa!$G$13:$G$512,$J424),ROUND(ROUND(INDEX(Tarifa!$G$13:$G$512,$J424)*(1+$J$2/100)/$J$3,0)*$J$3,2)))))</f>
        <v/>
      </c>
      <c r="G424" s="42">
        <f>IF(OR(NOT(ISNUMBER(F424)),N(E424)&lt;=1),"",ROUND(F424/E424,3))</f>
        <v/>
      </c>
      <c r="H424" s="43">
        <f>IF($J424="","",IF(INDEX(Tarifa!$H$13:$H$512,$J424)="","",INDEX(Tarifa!$H$13:$H$512,$J424)))</f>
        <v/>
      </c>
      <c r="I424" s="41">
        <f>IF(OR($M$3="No",$M$3="",NOT(ISNUMBER(F424))),"",IF(NOT(ISNUMBER(H424)),"Falta IVA",ROUND(F424*(1+(H424+IF($M$3="Con IVA y recargo",IF(H424=21,5.2,IF(H424=10,1.4,IF(H424=4,0.5,0))),0))/100),2)))</f>
        <v/>
      </c>
      <c r="J424">
        <f>IFERROR(MATCH(414,Tarifa!$O$13:$O$512,0),"")</f>
        <v/>
      </c>
    </row>
    <row r="425" ht="17" customHeight="1">
      <c r="A425" s="38">
        <f>IF($J425="","",IFERROR(IF(INDEX(Tarifa!$E$13:$E$512,$J425)&amp;""=INDEX(Tarifa!$E$13:$E$512,$J424)&amp;"","",INDEX(Tarifa!$E$13:$E$512,$J425)&amp;""),""))</f>
        <v/>
      </c>
      <c r="B425" s="39">
        <f>IF($J425="","",INDEX(Tarifa!$A$13:$A$512,$J425)&amp;"")</f>
        <v/>
      </c>
      <c r="C425" s="39">
        <f>IF($J425="","",INDEX(Tarifa!$B$13:$B$512,$J425)&amp;"")</f>
        <v/>
      </c>
      <c r="D425" s="39">
        <f>IF($J425="","",INDEX(Tarifa!$C$13:$C$512,$J425)&amp;"")</f>
        <v/>
      </c>
      <c r="E425" s="40">
        <f>IF($J425="","",IF(INDEX(Tarifa!$D$13:$D$512,$J425)="","",INDEX(Tarifa!$D$13:$D$512,$J425)))</f>
        <v/>
      </c>
      <c r="F425" s="41">
        <f>IF(OR($J425="",$J$1=""),"",IF(INDEX(Tarifa!$G$13:$G$512,$J425)="","",IF(NOT(ISNUMBER(INDEX(Tarifa!$G$13:$G$512,$J425))),"Revisa",IF($J$1=1,INDEX(Tarifa!$G$13:$G$512,$J425),ROUND(ROUND(INDEX(Tarifa!$G$13:$G$512,$J425)*(1+$J$2/100)/$J$3,0)*$J$3,2)))))</f>
        <v/>
      </c>
      <c r="G425" s="42">
        <f>IF(OR(NOT(ISNUMBER(F425)),N(E425)&lt;=1),"",ROUND(F425/E425,3))</f>
        <v/>
      </c>
      <c r="H425" s="43">
        <f>IF($J425="","",IF(INDEX(Tarifa!$H$13:$H$512,$J425)="","",INDEX(Tarifa!$H$13:$H$512,$J425)))</f>
        <v/>
      </c>
      <c r="I425" s="41">
        <f>IF(OR($M$3="No",$M$3="",NOT(ISNUMBER(F425))),"",IF(NOT(ISNUMBER(H425)),"Falta IVA",ROUND(F425*(1+(H425+IF($M$3="Con IVA y recargo",IF(H425=21,5.2,IF(H425=10,1.4,IF(H425=4,0.5,0))),0))/100),2)))</f>
        <v/>
      </c>
      <c r="J425">
        <f>IFERROR(MATCH(415,Tarifa!$O$13:$O$512,0),"")</f>
        <v/>
      </c>
    </row>
    <row r="426" ht="17" customHeight="1">
      <c r="A426" s="38">
        <f>IF($J426="","",IFERROR(IF(INDEX(Tarifa!$E$13:$E$512,$J426)&amp;""=INDEX(Tarifa!$E$13:$E$512,$J425)&amp;"","",INDEX(Tarifa!$E$13:$E$512,$J426)&amp;""),""))</f>
        <v/>
      </c>
      <c r="B426" s="39">
        <f>IF($J426="","",INDEX(Tarifa!$A$13:$A$512,$J426)&amp;"")</f>
        <v/>
      </c>
      <c r="C426" s="39">
        <f>IF($J426="","",INDEX(Tarifa!$B$13:$B$512,$J426)&amp;"")</f>
        <v/>
      </c>
      <c r="D426" s="39">
        <f>IF($J426="","",INDEX(Tarifa!$C$13:$C$512,$J426)&amp;"")</f>
        <v/>
      </c>
      <c r="E426" s="40">
        <f>IF($J426="","",IF(INDEX(Tarifa!$D$13:$D$512,$J426)="","",INDEX(Tarifa!$D$13:$D$512,$J426)))</f>
        <v/>
      </c>
      <c r="F426" s="41">
        <f>IF(OR($J426="",$J$1=""),"",IF(INDEX(Tarifa!$G$13:$G$512,$J426)="","",IF(NOT(ISNUMBER(INDEX(Tarifa!$G$13:$G$512,$J426))),"Revisa",IF($J$1=1,INDEX(Tarifa!$G$13:$G$512,$J426),ROUND(ROUND(INDEX(Tarifa!$G$13:$G$512,$J426)*(1+$J$2/100)/$J$3,0)*$J$3,2)))))</f>
        <v/>
      </c>
      <c r="G426" s="42">
        <f>IF(OR(NOT(ISNUMBER(F426)),N(E426)&lt;=1),"",ROUND(F426/E426,3))</f>
        <v/>
      </c>
      <c r="H426" s="43">
        <f>IF($J426="","",IF(INDEX(Tarifa!$H$13:$H$512,$J426)="","",INDEX(Tarifa!$H$13:$H$512,$J426)))</f>
        <v/>
      </c>
      <c r="I426" s="41">
        <f>IF(OR($M$3="No",$M$3="",NOT(ISNUMBER(F426))),"",IF(NOT(ISNUMBER(H426)),"Falta IVA",ROUND(F426*(1+(H426+IF($M$3="Con IVA y recargo",IF(H426=21,5.2,IF(H426=10,1.4,IF(H426=4,0.5,0))),0))/100),2)))</f>
        <v/>
      </c>
      <c r="J426">
        <f>IFERROR(MATCH(416,Tarifa!$O$13:$O$512,0),"")</f>
        <v/>
      </c>
    </row>
    <row r="427" ht="17" customHeight="1">
      <c r="A427" s="38">
        <f>IF($J427="","",IFERROR(IF(INDEX(Tarifa!$E$13:$E$512,$J427)&amp;""=INDEX(Tarifa!$E$13:$E$512,$J426)&amp;"","",INDEX(Tarifa!$E$13:$E$512,$J427)&amp;""),""))</f>
        <v/>
      </c>
      <c r="B427" s="39">
        <f>IF($J427="","",INDEX(Tarifa!$A$13:$A$512,$J427)&amp;"")</f>
        <v/>
      </c>
      <c r="C427" s="39">
        <f>IF($J427="","",INDEX(Tarifa!$B$13:$B$512,$J427)&amp;"")</f>
        <v/>
      </c>
      <c r="D427" s="39">
        <f>IF($J427="","",INDEX(Tarifa!$C$13:$C$512,$J427)&amp;"")</f>
        <v/>
      </c>
      <c r="E427" s="40">
        <f>IF($J427="","",IF(INDEX(Tarifa!$D$13:$D$512,$J427)="","",INDEX(Tarifa!$D$13:$D$512,$J427)))</f>
        <v/>
      </c>
      <c r="F427" s="41">
        <f>IF(OR($J427="",$J$1=""),"",IF(INDEX(Tarifa!$G$13:$G$512,$J427)="","",IF(NOT(ISNUMBER(INDEX(Tarifa!$G$13:$G$512,$J427))),"Revisa",IF($J$1=1,INDEX(Tarifa!$G$13:$G$512,$J427),ROUND(ROUND(INDEX(Tarifa!$G$13:$G$512,$J427)*(1+$J$2/100)/$J$3,0)*$J$3,2)))))</f>
        <v/>
      </c>
      <c r="G427" s="42">
        <f>IF(OR(NOT(ISNUMBER(F427)),N(E427)&lt;=1),"",ROUND(F427/E427,3))</f>
        <v/>
      </c>
      <c r="H427" s="43">
        <f>IF($J427="","",IF(INDEX(Tarifa!$H$13:$H$512,$J427)="","",INDEX(Tarifa!$H$13:$H$512,$J427)))</f>
        <v/>
      </c>
      <c r="I427" s="41">
        <f>IF(OR($M$3="No",$M$3="",NOT(ISNUMBER(F427))),"",IF(NOT(ISNUMBER(H427)),"Falta IVA",ROUND(F427*(1+(H427+IF($M$3="Con IVA y recargo",IF(H427=21,5.2,IF(H427=10,1.4,IF(H427=4,0.5,0))),0))/100),2)))</f>
        <v/>
      </c>
      <c r="J427">
        <f>IFERROR(MATCH(417,Tarifa!$O$13:$O$512,0),"")</f>
        <v/>
      </c>
    </row>
    <row r="428" ht="17" customHeight="1">
      <c r="A428" s="38">
        <f>IF($J428="","",IFERROR(IF(INDEX(Tarifa!$E$13:$E$512,$J428)&amp;""=INDEX(Tarifa!$E$13:$E$512,$J427)&amp;"","",INDEX(Tarifa!$E$13:$E$512,$J428)&amp;""),""))</f>
        <v/>
      </c>
      <c r="B428" s="39">
        <f>IF($J428="","",INDEX(Tarifa!$A$13:$A$512,$J428)&amp;"")</f>
        <v/>
      </c>
      <c r="C428" s="39">
        <f>IF($J428="","",INDEX(Tarifa!$B$13:$B$512,$J428)&amp;"")</f>
        <v/>
      </c>
      <c r="D428" s="39">
        <f>IF($J428="","",INDEX(Tarifa!$C$13:$C$512,$J428)&amp;"")</f>
        <v/>
      </c>
      <c r="E428" s="40">
        <f>IF($J428="","",IF(INDEX(Tarifa!$D$13:$D$512,$J428)="","",INDEX(Tarifa!$D$13:$D$512,$J428)))</f>
        <v/>
      </c>
      <c r="F428" s="41">
        <f>IF(OR($J428="",$J$1=""),"",IF(INDEX(Tarifa!$G$13:$G$512,$J428)="","",IF(NOT(ISNUMBER(INDEX(Tarifa!$G$13:$G$512,$J428))),"Revisa",IF($J$1=1,INDEX(Tarifa!$G$13:$G$512,$J428),ROUND(ROUND(INDEX(Tarifa!$G$13:$G$512,$J428)*(1+$J$2/100)/$J$3,0)*$J$3,2)))))</f>
        <v/>
      </c>
      <c r="G428" s="42">
        <f>IF(OR(NOT(ISNUMBER(F428)),N(E428)&lt;=1),"",ROUND(F428/E428,3))</f>
        <v/>
      </c>
      <c r="H428" s="43">
        <f>IF($J428="","",IF(INDEX(Tarifa!$H$13:$H$512,$J428)="","",INDEX(Tarifa!$H$13:$H$512,$J428)))</f>
        <v/>
      </c>
      <c r="I428" s="41">
        <f>IF(OR($M$3="No",$M$3="",NOT(ISNUMBER(F428))),"",IF(NOT(ISNUMBER(H428)),"Falta IVA",ROUND(F428*(1+(H428+IF($M$3="Con IVA y recargo",IF(H428=21,5.2,IF(H428=10,1.4,IF(H428=4,0.5,0))),0))/100),2)))</f>
        <v/>
      </c>
      <c r="J428">
        <f>IFERROR(MATCH(418,Tarifa!$O$13:$O$512,0),"")</f>
        <v/>
      </c>
    </row>
    <row r="429" ht="17" customHeight="1">
      <c r="A429" s="38">
        <f>IF($J429="","",IFERROR(IF(INDEX(Tarifa!$E$13:$E$512,$J429)&amp;""=INDEX(Tarifa!$E$13:$E$512,$J428)&amp;"","",INDEX(Tarifa!$E$13:$E$512,$J429)&amp;""),""))</f>
        <v/>
      </c>
      <c r="B429" s="39">
        <f>IF($J429="","",INDEX(Tarifa!$A$13:$A$512,$J429)&amp;"")</f>
        <v/>
      </c>
      <c r="C429" s="39">
        <f>IF($J429="","",INDEX(Tarifa!$B$13:$B$512,$J429)&amp;"")</f>
        <v/>
      </c>
      <c r="D429" s="39">
        <f>IF($J429="","",INDEX(Tarifa!$C$13:$C$512,$J429)&amp;"")</f>
        <v/>
      </c>
      <c r="E429" s="40">
        <f>IF($J429="","",IF(INDEX(Tarifa!$D$13:$D$512,$J429)="","",INDEX(Tarifa!$D$13:$D$512,$J429)))</f>
        <v/>
      </c>
      <c r="F429" s="41">
        <f>IF(OR($J429="",$J$1=""),"",IF(INDEX(Tarifa!$G$13:$G$512,$J429)="","",IF(NOT(ISNUMBER(INDEX(Tarifa!$G$13:$G$512,$J429))),"Revisa",IF($J$1=1,INDEX(Tarifa!$G$13:$G$512,$J429),ROUND(ROUND(INDEX(Tarifa!$G$13:$G$512,$J429)*(1+$J$2/100)/$J$3,0)*$J$3,2)))))</f>
        <v/>
      </c>
      <c r="G429" s="42">
        <f>IF(OR(NOT(ISNUMBER(F429)),N(E429)&lt;=1),"",ROUND(F429/E429,3))</f>
        <v/>
      </c>
      <c r="H429" s="43">
        <f>IF($J429="","",IF(INDEX(Tarifa!$H$13:$H$512,$J429)="","",INDEX(Tarifa!$H$13:$H$512,$J429)))</f>
        <v/>
      </c>
      <c r="I429" s="41">
        <f>IF(OR($M$3="No",$M$3="",NOT(ISNUMBER(F429))),"",IF(NOT(ISNUMBER(H429)),"Falta IVA",ROUND(F429*(1+(H429+IF($M$3="Con IVA y recargo",IF(H429=21,5.2,IF(H429=10,1.4,IF(H429=4,0.5,0))),0))/100),2)))</f>
        <v/>
      </c>
      <c r="J429">
        <f>IFERROR(MATCH(419,Tarifa!$O$13:$O$512,0),"")</f>
        <v/>
      </c>
    </row>
    <row r="430" ht="17" customHeight="1">
      <c r="A430" s="38">
        <f>IF($J430="","",IFERROR(IF(INDEX(Tarifa!$E$13:$E$512,$J430)&amp;""=INDEX(Tarifa!$E$13:$E$512,$J429)&amp;"","",INDEX(Tarifa!$E$13:$E$512,$J430)&amp;""),""))</f>
        <v/>
      </c>
      <c r="B430" s="39">
        <f>IF($J430="","",INDEX(Tarifa!$A$13:$A$512,$J430)&amp;"")</f>
        <v/>
      </c>
      <c r="C430" s="39">
        <f>IF($J430="","",INDEX(Tarifa!$B$13:$B$512,$J430)&amp;"")</f>
        <v/>
      </c>
      <c r="D430" s="39">
        <f>IF($J430="","",INDEX(Tarifa!$C$13:$C$512,$J430)&amp;"")</f>
        <v/>
      </c>
      <c r="E430" s="40">
        <f>IF($J430="","",IF(INDEX(Tarifa!$D$13:$D$512,$J430)="","",INDEX(Tarifa!$D$13:$D$512,$J430)))</f>
        <v/>
      </c>
      <c r="F430" s="41">
        <f>IF(OR($J430="",$J$1=""),"",IF(INDEX(Tarifa!$G$13:$G$512,$J430)="","",IF(NOT(ISNUMBER(INDEX(Tarifa!$G$13:$G$512,$J430))),"Revisa",IF($J$1=1,INDEX(Tarifa!$G$13:$G$512,$J430),ROUND(ROUND(INDEX(Tarifa!$G$13:$G$512,$J430)*(1+$J$2/100)/$J$3,0)*$J$3,2)))))</f>
        <v/>
      </c>
      <c r="G430" s="42">
        <f>IF(OR(NOT(ISNUMBER(F430)),N(E430)&lt;=1),"",ROUND(F430/E430,3))</f>
        <v/>
      </c>
      <c r="H430" s="43">
        <f>IF($J430="","",IF(INDEX(Tarifa!$H$13:$H$512,$J430)="","",INDEX(Tarifa!$H$13:$H$512,$J430)))</f>
        <v/>
      </c>
      <c r="I430" s="41">
        <f>IF(OR($M$3="No",$M$3="",NOT(ISNUMBER(F430))),"",IF(NOT(ISNUMBER(H430)),"Falta IVA",ROUND(F430*(1+(H430+IF($M$3="Con IVA y recargo",IF(H430=21,5.2,IF(H430=10,1.4,IF(H430=4,0.5,0))),0))/100),2)))</f>
        <v/>
      </c>
      <c r="J430">
        <f>IFERROR(MATCH(420,Tarifa!$O$13:$O$512,0),"")</f>
        <v/>
      </c>
    </row>
    <row r="431" ht="17" customHeight="1">
      <c r="A431" s="38">
        <f>IF($J431="","",IFERROR(IF(INDEX(Tarifa!$E$13:$E$512,$J431)&amp;""=INDEX(Tarifa!$E$13:$E$512,$J430)&amp;"","",INDEX(Tarifa!$E$13:$E$512,$J431)&amp;""),""))</f>
        <v/>
      </c>
      <c r="B431" s="39">
        <f>IF($J431="","",INDEX(Tarifa!$A$13:$A$512,$J431)&amp;"")</f>
        <v/>
      </c>
      <c r="C431" s="39">
        <f>IF($J431="","",INDEX(Tarifa!$B$13:$B$512,$J431)&amp;"")</f>
        <v/>
      </c>
      <c r="D431" s="39">
        <f>IF($J431="","",INDEX(Tarifa!$C$13:$C$512,$J431)&amp;"")</f>
        <v/>
      </c>
      <c r="E431" s="40">
        <f>IF($J431="","",IF(INDEX(Tarifa!$D$13:$D$512,$J431)="","",INDEX(Tarifa!$D$13:$D$512,$J431)))</f>
        <v/>
      </c>
      <c r="F431" s="41">
        <f>IF(OR($J431="",$J$1=""),"",IF(INDEX(Tarifa!$G$13:$G$512,$J431)="","",IF(NOT(ISNUMBER(INDEX(Tarifa!$G$13:$G$512,$J431))),"Revisa",IF($J$1=1,INDEX(Tarifa!$G$13:$G$512,$J431),ROUND(ROUND(INDEX(Tarifa!$G$13:$G$512,$J431)*(1+$J$2/100)/$J$3,0)*$J$3,2)))))</f>
        <v/>
      </c>
      <c r="G431" s="42">
        <f>IF(OR(NOT(ISNUMBER(F431)),N(E431)&lt;=1),"",ROUND(F431/E431,3))</f>
        <v/>
      </c>
      <c r="H431" s="43">
        <f>IF($J431="","",IF(INDEX(Tarifa!$H$13:$H$512,$J431)="","",INDEX(Tarifa!$H$13:$H$512,$J431)))</f>
        <v/>
      </c>
      <c r="I431" s="41">
        <f>IF(OR($M$3="No",$M$3="",NOT(ISNUMBER(F431))),"",IF(NOT(ISNUMBER(H431)),"Falta IVA",ROUND(F431*(1+(H431+IF($M$3="Con IVA y recargo",IF(H431=21,5.2,IF(H431=10,1.4,IF(H431=4,0.5,0))),0))/100),2)))</f>
        <v/>
      </c>
      <c r="J431">
        <f>IFERROR(MATCH(421,Tarifa!$O$13:$O$512,0),"")</f>
        <v/>
      </c>
    </row>
    <row r="432" ht="17" customHeight="1">
      <c r="A432" s="38">
        <f>IF($J432="","",IFERROR(IF(INDEX(Tarifa!$E$13:$E$512,$J432)&amp;""=INDEX(Tarifa!$E$13:$E$512,$J431)&amp;"","",INDEX(Tarifa!$E$13:$E$512,$J432)&amp;""),""))</f>
        <v/>
      </c>
      <c r="B432" s="39">
        <f>IF($J432="","",INDEX(Tarifa!$A$13:$A$512,$J432)&amp;"")</f>
        <v/>
      </c>
      <c r="C432" s="39">
        <f>IF($J432="","",INDEX(Tarifa!$B$13:$B$512,$J432)&amp;"")</f>
        <v/>
      </c>
      <c r="D432" s="39">
        <f>IF($J432="","",INDEX(Tarifa!$C$13:$C$512,$J432)&amp;"")</f>
        <v/>
      </c>
      <c r="E432" s="40">
        <f>IF($J432="","",IF(INDEX(Tarifa!$D$13:$D$512,$J432)="","",INDEX(Tarifa!$D$13:$D$512,$J432)))</f>
        <v/>
      </c>
      <c r="F432" s="41">
        <f>IF(OR($J432="",$J$1=""),"",IF(INDEX(Tarifa!$G$13:$G$512,$J432)="","",IF(NOT(ISNUMBER(INDEX(Tarifa!$G$13:$G$512,$J432))),"Revisa",IF($J$1=1,INDEX(Tarifa!$G$13:$G$512,$J432),ROUND(ROUND(INDEX(Tarifa!$G$13:$G$512,$J432)*(1+$J$2/100)/$J$3,0)*$J$3,2)))))</f>
        <v/>
      </c>
      <c r="G432" s="42">
        <f>IF(OR(NOT(ISNUMBER(F432)),N(E432)&lt;=1),"",ROUND(F432/E432,3))</f>
        <v/>
      </c>
      <c r="H432" s="43">
        <f>IF($J432="","",IF(INDEX(Tarifa!$H$13:$H$512,$J432)="","",INDEX(Tarifa!$H$13:$H$512,$J432)))</f>
        <v/>
      </c>
      <c r="I432" s="41">
        <f>IF(OR($M$3="No",$M$3="",NOT(ISNUMBER(F432))),"",IF(NOT(ISNUMBER(H432)),"Falta IVA",ROUND(F432*(1+(H432+IF($M$3="Con IVA y recargo",IF(H432=21,5.2,IF(H432=10,1.4,IF(H432=4,0.5,0))),0))/100),2)))</f>
        <v/>
      </c>
      <c r="J432">
        <f>IFERROR(MATCH(422,Tarifa!$O$13:$O$512,0),"")</f>
        <v/>
      </c>
    </row>
    <row r="433" ht="17" customHeight="1">
      <c r="A433" s="38">
        <f>IF($J433="","",IFERROR(IF(INDEX(Tarifa!$E$13:$E$512,$J433)&amp;""=INDEX(Tarifa!$E$13:$E$512,$J432)&amp;"","",INDEX(Tarifa!$E$13:$E$512,$J433)&amp;""),""))</f>
        <v/>
      </c>
      <c r="B433" s="39">
        <f>IF($J433="","",INDEX(Tarifa!$A$13:$A$512,$J433)&amp;"")</f>
        <v/>
      </c>
      <c r="C433" s="39">
        <f>IF($J433="","",INDEX(Tarifa!$B$13:$B$512,$J433)&amp;"")</f>
        <v/>
      </c>
      <c r="D433" s="39">
        <f>IF($J433="","",INDEX(Tarifa!$C$13:$C$512,$J433)&amp;"")</f>
        <v/>
      </c>
      <c r="E433" s="40">
        <f>IF($J433="","",IF(INDEX(Tarifa!$D$13:$D$512,$J433)="","",INDEX(Tarifa!$D$13:$D$512,$J433)))</f>
        <v/>
      </c>
      <c r="F433" s="41">
        <f>IF(OR($J433="",$J$1=""),"",IF(INDEX(Tarifa!$G$13:$G$512,$J433)="","",IF(NOT(ISNUMBER(INDEX(Tarifa!$G$13:$G$512,$J433))),"Revisa",IF($J$1=1,INDEX(Tarifa!$G$13:$G$512,$J433),ROUND(ROUND(INDEX(Tarifa!$G$13:$G$512,$J433)*(1+$J$2/100)/$J$3,0)*$J$3,2)))))</f>
        <v/>
      </c>
      <c r="G433" s="42">
        <f>IF(OR(NOT(ISNUMBER(F433)),N(E433)&lt;=1),"",ROUND(F433/E433,3))</f>
        <v/>
      </c>
      <c r="H433" s="43">
        <f>IF($J433="","",IF(INDEX(Tarifa!$H$13:$H$512,$J433)="","",INDEX(Tarifa!$H$13:$H$512,$J433)))</f>
        <v/>
      </c>
      <c r="I433" s="41">
        <f>IF(OR($M$3="No",$M$3="",NOT(ISNUMBER(F433))),"",IF(NOT(ISNUMBER(H433)),"Falta IVA",ROUND(F433*(1+(H433+IF($M$3="Con IVA y recargo",IF(H433=21,5.2,IF(H433=10,1.4,IF(H433=4,0.5,0))),0))/100),2)))</f>
        <v/>
      </c>
      <c r="J433">
        <f>IFERROR(MATCH(423,Tarifa!$O$13:$O$512,0),"")</f>
        <v/>
      </c>
    </row>
    <row r="434" ht="17" customHeight="1">
      <c r="A434" s="38">
        <f>IF($J434="","",IFERROR(IF(INDEX(Tarifa!$E$13:$E$512,$J434)&amp;""=INDEX(Tarifa!$E$13:$E$512,$J433)&amp;"","",INDEX(Tarifa!$E$13:$E$512,$J434)&amp;""),""))</f>
        <v/>
      </c>
      <c r="B434" s="39">
        <f>IF($J434="","",INDEX(Tarifa!$A$13:$A$512,$J434)&amp;"")</f>
        <v/>
      </c>
      <c r="C434" s="39">
        <f>IF($J434="","",INDEX(Tarifa!$B$13:$B$512,$J434)&amp;"")</f>
        <v/>
      </c>
      <c r="D434" s="39">
        <f>IF($J434="","",INDEX(Tarifa!$C$13:$C$512,$J434)&amp;"")</f>
        <v/>
      </c>
      <c r="E434" s="40">
        <f>IF($J434="","",IF(INDEX(Tarifa!$D$13:$D$512,$J434)="","",INDEX(Tarifa!$D$13:$D$512,$J434)))</f>
        <v/>
      </c>
      <c r="F434" s="41">
        <f>IF(OR($J434="",$J$1=""),"",IF(INDEX(Tarifa!$G$13:$G$512,$J434)="","",IF(NOT(ISNUMBER(INDEX(Tarifa!$G$13:$G$512,$J434))),"Revisa",IF($J$1=1,INDEX(Tarifa!$G$13:$G$512,$J434),ROUND(ROUND(INDEX(Tarifa!$G$13:$G$512,$J434)*(1+$J$2/100)/$J$3,0)*$J$3,2)))))</f>
        <v/>
      </c>
      <c r="G434" s="42">
        <f>IF(OR(NOT(ISNUMBER(F434)),N(E434)&lt;=1),"",ROUND(F434/E434,3))</f>
        <v/>
      </c>
      <c r="H434" s="43">
        <f>IF($J434="","",IF(INDEX(Tarifa!$H$13:$H$512,$J434)="","",INDEX(Tarifa!$H$13:$H$512,$J434)))</f>
        <v/>
      </c>
      <c r="I434" s="41">
        <f>IF(OR($M$3="No",$M$3="",NOT(ISNUMBER(F434))),"",IF(NOT(ISNUMBER(H434)),"Falta IVA",ROUND(F434*(1+(H434+IF($M$3="Con IVA y recargo",IF(H434=21,5.2,IF(H434=10,1.4,IF(H434=4,0.5,0))),0))/100),2)))</f>
        <v/>
      </c>
      <c r="J434">
        <f>IFERROR(MATCH(424,Tarifa!$O$13:$O$512,0),"")</f>
        <v/>
      </c>
    </row>
    <row r="435" ht="17" customHeight="1">
      <c r="A435" s="38">
        <f>IF($J435="","",IFERROR(IF(INDEX(Tarifa!$E$13:$E$512,$J435)&amp;""=INDEX(Tarifa!$E$13:$E$512,$J434)&amp;"","",INDEX(Tarifa!$E$13:$E$512,$J435)&amp;""),""))</f>
        <v/>
      </c>
      <c r="B435" s="39">
        <f>IF($J435="","",INDEX(Tarifa!$A$13:$A$512,$J435)&amp;"")</f>
        <v/>
      </c>
      <c r="C435" s="39">
        <f>IF($J435="","",INDEX(Tarifa!$B$13:$B$512,$J435)&amp;"")</f>
        <v/>
      </c>
      <c r="D435" s="39">
        <f>IF($J435="","",INDEX(Tarifa!$C$13:$C$512,$J435)&amp;"")</f>
        <v/>
      </c>
      <c r="E435" s="40">
        <f>IF($J435="","",IF(INDEX(Tarifa!$D$13:$D$512,$J435)="","",INDEX(Tarifa!$D$13:$D$512,$J435)))</f>
        <v/>
      </c>
      <c r="F435" s="41">
        <f>IF(OR($J435="",$J$1=""),"",IF(INDEX(Tarifa!$G$13:$G$512,$J435)="","",IF(NOT(ISNUMBER(INDEX(Tarifa!$G$13:$G$512,$J435))),"Revisa",IF($J$1=1,INDEX(Tarifa!$G$13:$G$512,$J435),ROUND(ROUND(INDEX(Tarifa!$G$13:$G$512,$J435)*(1+$J$2/100)/$J$3,0)*$J$3,2)))))</f>
        <v/>
      </c>
      <c r="G435" s="42">
        <f>IF(OR(NOT(ISNUMBER(F435)),N(E435)&lt;=1),"",ROUND(F435/E435,3))</f>
        <v/>
      </c>
      <c r="H435" s="43">
        <f>IF($J435="","",IF(INDEX(Tarifa!$H$13:$H$512,$J435)="","",INDEX(Tarifa!$H$13:$H$512,$J435)))</f>
        <v/>
      </c>
      <c r="I435" s="41">
        <f>IF(OR($M$3="No",$M$3="",NOT(ISNUMBER(F435))),"",IF(NOT(ISNUMBER(H435)),"Falta IVA",ROUND(F435*(1+(H435+IF($M$3="Con IVA y recargo",IF(H435=21,5.2,IF(H435=10,1.4,IF(H435=4,0.5,0))),0))/100),2)))</f>
        <v/>
      </c>
      <c r="J435">
        <f>IFERROR(MATCH(425,Tarifa!$O$13:$O$512,0),"")</f>
        <v/>
      </c>
    </row>
    <row r="436" ht="17" customHeight="1">
      <c r="A436" s="38">
        <f>IF($J436="","",IFERROR(IF(INDEX(Tarifa!$E$13:$E$512,$J436)&amp;""=INDEX(Tarifa!$E$13:$E$512,$J435)&amp;"","",INDEX(Tarifa!$E$13:$E$512,$J436)&amp;""),""))</f>
        <v/>
      </c>
      <c r="B436" s="39">
        <f>IF($J436="","",INDEX(Tarifa!$A$13:$A$512,$J436)&amp;"")</f>
        <v/>
      </c>
      <c r="C436" s="39">
        <f>IF($J436="","",INDEX(Tarifa!$B$13:$B$512,$J436)&amp;"")</f>
        <v/>
      </c>
      <c r="D436" s="39">
        <f>IF($J436="","",INDEX(Tarifa!$C$13:$C$512,$J436)&amp;"")</f>
        <v/>
      </c>
      <c r="E436" s="40">
        <f>IF($J436="","",IF(INDEX(Tarifa!$D$13:$D$512,$J436)="","",INDEX(Tarifa!$D$13:$D$512,$J436)))</f>
        <v/>
      </c>
      <c r="F436" s="41">
        <f>IF(OR($J436="",$J$1=""),"",IF(INDEX(Tarifa!$G$13:$G$512,$J436)="","",IF(NOT(ISNUMBER(INDEX(Tarifa!$G$13:$G$512,$J436))),"Revisa",IF($J$1=1,INDEX(Tarifa!$G$13:$G$512,$J436),ROUND(ROUND(INDEX(Tarifa!$G$13:$G$512,$J436)*(1+$J$2/100)/$J$3,0)*$J$3,2)))))</f>
        <v/>
      </c>
      <c r="G436" s="42">
        <f>IF(OR(NOT(ISNUMBER(F436)),N(E436)&lt;=1),"",ROUND(F436/E436,3))</f>
        <v/>
      </c>
      <c r="H436" s="43">
        <f>IF($J436="","",IF(INDEX(Tarifa!$H$13:$H$512,$J436)="","",INDEX(Tarifa!$H$13:$H$512,$J436)))</f>
        <v/>
      </c>
      <c r="I436" s="41">
        <f>IF(OR($M$3="No",$M$3="",NOT(ISNUMBER(F436))),"",IF(NOT(ISNUMBER(H436)),"Falta IVA",ROUND(F436*(1+(H436+IF($M$3="Con IVA y recargo",IF(H436=21,5.2,IF(H436=10,1.4,IF(H436=4,0.5,0))),0))/100),2)))</f>
        <v/>
      </c>
      <c r="J436">
        <f>IFERROR(MATCH(426,Tarifa!$O$13:$O$512,0),"")</f>
        <v/>
      </c>
    </row>
    <row r="437" ht="17" customHeight="1">
      <c r="A437" s="38">
        <f>IF($J437="","",IFERROR(IF(INDEX(Tarifa!$E$13:$E$512,$J437)&amp;""=INDEX(Tarifa!$E$13:$E$512,$J436)&amp;"","",INDEX(Tarifa!$E$13:$E$512,$J437)&amp;""),""))</f>
        <v/>
      </c>
      <c r="B437" s="39">
        <f>IF($J437="","",INDEX(Tarifa!$A$13:$A$512,$J437)&amp;"")</f>
        <v/>
      </c>
      <c r="C437" s="39">
        <f>IF($J437="","",INDEX(Tarifa!$B$13:$B$512,$J437)&amp;"")</f>
        <v/>
      </c>
      <c r="D437" s="39">
        <f>IF($J437="","",INDEX(Tarifa!$C$13:$C$512,$J437)&amp;"")</f>
        <v/>
      </c>
      <c r="E437" s="40">
        <f>IF($J437="","",IF(INDEX(Tarifa!$D$13:$D$512,$J437)="","",INDEX(Tarifa!$D$13:$D$512,$J437)))</f>
        <v/>
      </c>
      <c r="F437" s="41">
        <f>IF(OR($J437="",$J$1=""),"",IF(INDEX(Tarifa!$G$13:$G$512,$J437)="","",IF(NOT(ISNUMBER(INDEX(Tarifa!$G$13:$G$512,$J437))),"Revisa",IF($J$1=1,INDEX(Tarifa!$G$13:$G$512,$J437),ROUND(ROUND(INDEX(Tarifa!$G$13:$G$512,$J437)*(1+$J$2/100)/$J$3,0)*$J$3,2)))))</f>
        <v/>
      </c>
      <c r="G437" s="42">
        <f>IF(OR(NOT(ISNUMBER(F437)),N(E437)&lt;=1),"",ROUND(F437/E437,3))</f>
        <v/>
      </c>
      <c r="H437" s="43">
        <f>IF($J437="","",IF(INDEX(Tarifa!$H$13:$H$512,$J437)="","",INDEX(Tarifa!$H$13:$H$512,$J437)))</f>
        <v/>
      </c>
      <c r="I437" s="41">
        <f>IF(OR($M$3="No",$M$3="",NOT(ISNUMBER(F437))),"",IF(NOT(ISNUMBER(H437)),"Falta IVA",ROUND(F437*(1+(H437+IF($M$3="Con IVA y recargo",IF(H437=21,5.2,IF(H437=10,1.4,IF(H437=4,0.5,0))),0))/100),2)))</f>
        <v/>
      </c>
      <c r="J437">
        <f>IFERROR(MATCH(427,Tarifa!$O$13:$O$512,0),"")</f>
        <v/>
      </c>
    </row>
    <row r="438" ht="17" customHeight="1">
      <c r="A438" s="38">
        <f>IF($J438="","",IFERROR(IF(INDEX(Tarifa!$E$13:$E$512,$J438)&amp;""=INDEX(Tarifa!$E$13:$E$512,$J437)&amp;"","",INDEX(Tarifa!$E$13:$E$512,$J438)&amp;""),""))</f>
        <v/>
      </c>
      <c r="B438" s="39">
        <f>IF($J438="","",INDEX(Tarifa!$A$13:$A$512,$J438)&amp;"")</f>
        <v/>
      </c>
      <c r="C438" s="39">
        <f>IF($J438="","",INDEX(Tarifa!$B$13:$B$512,$J438)&amp;"")</f>
        <v/>
      </c>
      <c r="D438" s="39">
        <f>IF($J438="","",INDEX(Tarifa!$C$13:$C$512,$J438)&amp;"")</f>
        <v/>
      </c>
      <c r="E438" s="40">
        <f>IF($J438="","",IF(INDEX(Tarifa!$D$13:$D$512,$J438)="","",INDEX(Tarifa!$D$13:$D$512,$J438)))</f>
        <v/>
      </c>
      <c r="F438" s="41">
        <f>IF(OR($J438="",$J$1=""),"",IF(INDEX(Tarifa!$G$13:$G$512,$J438)="","",IF(NOT(ISNUMBER(INDEX(Tarifa!$G$13:$G$512,$J438))),"Revisa",IF($J$1=1,INDEX(Tarifa!$G$13:$G$512,$J438),ROUND(ROUND(INDEX(Tarifa!$G$13:$G$512,$J438)*(1+$J$2/100)/$J$3,0)*$J$3,2)))))</f>
        <v/>
      </c>
      <c r="G438" s="42">
        <f>IF(OR(NOT(ISNUMBER(F438)),N(E438)&lt;=1),"",ROUND(F438/E438,3))</f>
        <v/>
      </c>
      <c r="H438" s="43">
        <f>IF($J438="","",IF(INDEX(Tarifa!$H$13:$H$512,$J438)="","",INDEX(Tarifa!$H$13:$H$512,$J438)))</f>
        <v/>
      </c>
      <c r="I438" s="41">
        <f>IF(OR($M$3="No",$M$3="",NOT(ISNUMBER(F438))),"",IF(NOT(ISNUMBER(H438)),"Falta IVA",ROUND(F438*(1+(H438+IF($M$3="Con IVA y recargo",IF(H438=21,5.2,IF(H438=10,1.4,IF(H438=4,0.5,0))),0))/100),2)))</f>
        <v/>
      </c>
      <c r="J438">
        <f>IFERROR(MATCH(428,Tarifa!$O$13:$O$512,0),"")</f>
        <v/>
      </c>
    </row>
    <row r="439" ht="17" customHeight="1">
      <c r="A439" s="38">
        <f>IF($J439="","",IFERROR(IF(INDEX(Tarifa!$E$13:$E$512,$J439)&amp;""=INDEX(Tarifa!$E$13:$E$512,$J438)&amp;"","",INDEX(Tarifa!$E$13:$E$512,$J439)&amp;""),""))</f>
        <v/>
      </c>
      <c r="B439" s="39">
        <f>IF($J439="","",INDEX(Tarifa!$A$13:$A$512,$J439)&amp;"")</f>
        <v/>
      </c>
      <c r="C439" s="39">
        <f>IF($J439="","",INDEX(Tarifa!$B$13:$B$512,$J439)&amp;"")</f>
        <v/>
      </c>
      <c r="D439" s="39">
        <f>IF($J439="","",INDEX(Tarifa!$C$13:$C$512,$J439)&amp;"")</f>
        <v/>
      </c>
      <c r="E439" s="40">
        <f>IF($J439="","",IF(INDEX(Tarifa!$D$13:$D$512,$J439)="","",INDEX(Tarifa!$D$13:$D$512,$J439)))</f>
        <v/>
      </c>
      <c r="F439" s="41">
        <f>IF(OR($J439="",$J$1=""),"",IF(INDEX(Tarifa!$G$13:$G$512,$J439)="","",IF(NOT(ISNUMBER(INDEX(Tarifa!$G$13:$G$512,$J439))),"Revisa",IF($J$1=1,INDEX(Tarifa!$G$13:$G$512,$J439),ROUND(ROUND(INDEX(Tarifa!$G$13:$G$512,$J439)*(1+$J$2/100)/$J$3,0)*$J$3,2)))))</f>
        <v/>
      </c>
      <c r="G439" s="42">
        <f>IF(OR(NOT(ISNUMBER(F439)),N(E439)&lt;=1),"",ROUND(F439/E439,3))</f>
        <v/>
      </c>
      <c r="H439" s="43">
        <f>IF($J439="","",IF(INDEX(Tarifa!$H$13:$H$512,$J439)="","",INDEX(Tarifa!$H$13:$H$512,$J439)))</f>
        <v/>
      </c>
      <c r="I439" s="41">
        <f>IF(OR($M$3="No",$M$3="",NOT(ISNUMBER(F439))),"",IF(NOT(ISNUMBER(H439)),"Falta IVA",ROUND(F439*(1+(H439+IF($M$3="Con IVA y recargo",IF(H439=21,5.2,IF(H439=10,1.4,IF(H439=4,0.5,0))),0))/100),2)))</f>
        <v/>
      </c>
      <c r="J439">
        <f>IFERROR(MATCH(429,Tarifa!$O$13:$O$512,0),"")</f>
        <v/>
      </c>
    </row>
    <row r="440" ht="17" customHeight="1">
      <c r="A440" s="38">
        <f>IF($J440="","",IFERROR(IF(INDEX(Tarifa!$E$13:$E$512,$J440)&amp;""=INDEX(Tarifa!$E$13:$E$512,$J439)&amp;"","",INDEX(Tarifa!$E$13:$E$512,$J440)&amp;""),""))</f>
        <v/>
      </c>
      <c r="B440" s="39">
        <f>IF($J440="","",INDEX(Tarifa!$A$13:$A$512,$J440)&amp;"")</f>
        <v/>
      </c>
      <c r="C440" s="39">
        <f>IF($J440="","",INDEX(Tarifa!$B$13:$B$512,$J440)&amp;"")</f>
        <v/>
      </c>
      <c r="D440" s="39">
        <f>IF($J440="","",INDEX(Tarifa!$C$13:$C$512,$J440)&amp;"")</f>
        <v/>
      </c>
      <c r="E440" s="40">
        <f>IF($J440="","",IF(INDEX(Tarifa!$D$13:$D$512,$J440)="","",INDEX(Tarifa!$D$13:$D$512,$J440)))</f>
        <v/>
      </c>
      <c r="F440" s="41">
        <f>IF(OR($J440="",$J$1=""),"",IF(INDEX(Tarifa!$G$13:$G$512,$J440)="","",IF(NOT(ISNUMBER(INDEX(Tarifa!$G$13:$G$512,$J440))),"Revisa",IF($J$1=1,INDEX(Tarifa!$G$13:$G$512,$J440),ROUND(ROUND(INDEX(Tarifa!$G$13:$G$512,$J440)*(1+$J$2/100)/$J$3,0)*$J$3,2)))))</f>
        <v/>
      </c>
      <c r="G440" s="42">
        <f>IF(OR(NOT(ISNUMBER(F440)),N(E440)&lt;=1),"",ROUND(F440/E440,3))</f>
        <v/>
      </c>
      <c r="H440" s="43">
        <f>IF($J440="","",IF(INDEX(Tarifa!$H$13:$H$512,$J440)="","",INDEX(Tarifa!$H$13:$H$512,$J440)))</f>
        <v/>
      </c>
      <c r="I440" s="41">
        <f>IF(OR($M$3="No",$M$3="",NOT(ISNUMBER(F440))),"",IF(NOT(ISNUMBER(H440)),"Falta IVA",ROUND(F440*(1+(H440+IF($M$3="Con IVA y recargo",IF(H440=21,5.2,IF(H440=10,1.4,IF(H440=4,0.5,0))),0))/100),2)))</f>
        <v/>
      </c>
      <c r="J440">
        <f>IFERROR(MATCH(430,Tarifa!$O$13:$O$512,0),"")</f>
        <v/>
      </c>
    </row>
    <row r="441" ht="17" customHeight="1">
      <c r="A441" s="38">
        <f>IF($J441="","",IFERROR(IF(INDEX(Tarifa!$E$13:$E$512,$J441)&amp;""=INDEX(Tarifa!$E$13:$E$512,$J440)&amp;"","",INDEX(Tarifa!$E$13:$E$512,$J441)&amp;""),""))</f>
        <v/>
      </c>
      <c r="B441" s="39">
        <f>IF($J441="","",INDEX(Tarifa!$A$13:$A$512,$J441)&amp;"")</f>
        <v/>
      </c>
      <c r="C441" s="39">
        <f>IF($J441="","",INDEX(Tarifa!$B$13:$B$512,$J441)&amp;"")</f>
        <v/>
      </c>
      <c r="D441" s="39">
        <f>IF($J441="","",INDEX(Tarifa!$C$13:$C$512,$J441)&amp;"")</f>
        <v/>
      </c>
      <c r="E441" s="40">
        <f>IF($J441="","",IF(INDEX(Tarifa!$D$13:$D$512,$J441)="","",INDEX(Tarifa!$D$13:$D$512,$J441)))</f>
        <v/>
      </c>
      <c r="F441" s="41">
        <f>IF(OR($J441="",$J$1=""),"",IF(INDEX(Tarifa!$G$13:$G$512,$J441)="","",IF(NOT(ISNUMBER(INDEX(Tarifa!$G$13:$G$512,$J441))),"Revisa",IF($J$1=1,INDEX(Tarifa!$G$13:$G$512,$J441),ROUND(ROUND(INDEX(Tarifa!$G$13:$G$512,$J441)*(1+$J$2/100)/$J$3,0)*$J$3,2)))))</f>
        <v/>
      </c>
      <c r="G441" s="42">
        <f>IF(OR(NOT(ISNUMBER(F441)),N(E441)&lt;=1),"",ROUND(F441/E441,3))</f>
        <v/>
      </c>
      <c r="H441" s="43">
        <f>IF($J441="","",IF(INDEX(Tarifa!$H$13:$H$512,$J441)="","",INDEX(Tarifa!$H$13:$H$512,$J441)))</f>
        <v/>
      </c>
      <c r="I441" s="41">
        <f>IF(OR($M$3="No",$M$3="",NOT(ISNUMBER(F441))),"",IF(NOT(ISNUMBER(H441)),"Falta IVA",ROUND(F441*(1+(H441+IF($M$3="Con IVA y recargo",IF(H441=21,5.2,IF(H441=10,1.4,IF(H441=4,0.5,0))),0))/100),2)))</f>
        <v/>
      </c>
      <c r="J441">
        <f>IFERROR(MATCH(431,Tarifa!$O$13:$O$512,0),"")</f>
        <v/>
      </c>
    </row>
    <row r="442" ht="17" customHeight="1">
      <c r="A442" s="38">
        <f>IF($J442="","",IFERROR(IF(INDEX(Tarifa!$E$13:$E$512,$J442)&amp;""=INDEX(Tarifa!$E$13:$E$512,$J441)&amp;"","",INDEX(Tarifa!$E$13:$E$512,$J442)&amp;""),""))</f>
        <v/>
      </c>
      <c r="B442" s="39">
        <f>IF($J442="","",INDEX(Tarifa!$A$13:$A$512,$J442)&amp;"")</f>
        <v/>
      </c>
      <c r="C442" s="39">
        <f>IF($J442="","",INDEX(Tarifa!$B$13:$B$512,$J442)&amp;"")</f>
        <v/>
      </c>
      <c r="D442" s="39">
        <f>IF($J442="","",INDEX(Tarifa!$C$13:$C$512,$J442)&amp;"")</f>
        <v/>
      </c>
      <c r="E442" s="40">
        <f>IF($J442="","",IF(INDEX(Tarifa!$D$13:$D$512,$J442)="","",INDEX(Tarifa!$D$13:$D$512,$J442)))</f>
        <v/>
      </c>
      <c r="F442" s="41">
        <f>IF(OR($J442="",$J$1=""),"",IF(INDEX(Tarifa!$G$13:$G$512,$J442)="","",IF(NOT(ISNUMBER(INDEX(Tarifa!$G$13:$G$512,$J442))),"Revisa",IF($J$1=1,INDEX(Tarifa!$G$13:$G$512,$J442),ROUND(ROUND(INDEX(Tarifa!$G$13:$G$512,$J442)*(1+$J$2/100)/$J$3,0)*$J$3,2)))))</f>
        <v/>
      </c>
      <c r="G442" s="42">
        <f>IF(OR(NOT(ISNUMBER(F442)),N(E442)&lt;=1),"",ROUND(F442/E442,3))</f>
        <v/>
      </c>
      <c r="H442" s="43">
        <f>IF($J442="","",IF(INDEX(Tarifa!$H$13:$H$512,$J442)="","",INDEX(Tarifa!$H$13:$H$512,$J442)))</f>
        <v/>
      </c>
      <c r="I442" s="41">
        <f>IF(OR($M$3="No",$M$3="",NOT(ISNUMBER(F442))),"",IF(NOT(ISNUMBER(H442)),"Falta IVA",ROUND(F442*(1+(H442+IF($M$3="Con IVA y recargo",IF(H442=21,5.2,IF(H442=10,1.4,IF(H442=4,0.5,0))),0))/100),2)))</f>
        <v/>
      </c>
      <c r="J442">
        <f>IFERROR(MATCH(432,Tarifa!$O$13:$O$512,0),"")</f>
        <v/>
      </c>
    </row>
    <row r="443" ht="17" customHeight="1">
      <c r="A443" s="38">
        <f>IF($J443="","",IFERROR(IF(INDEX(Tarifa!$E$13:$E$512,$J443)&amp;""=INDEX(Tarifa!$E$13:$E$512,$J442)&amp;"","",INDEX(Tarifa!$E$13:$E$512,$J443)&amp;""),""))</f>
        <v/>
      </c>
      <c r="B443" s="39">
        <f>IF($J443="","",INDEX(Tarifa!$A$13:$A$512,$J443)&amp;"")</f>
        <v/>
      </c>
      <c r="C443" s="39">
        <f>IF($J443="","",INDEX(Tarifa!$B$13:$B$512,$J443)&amp;"")</f>
        <v/>
      </c>
      <c r="D443" s="39">
        <f>IF($J443="","",INDEX(Tarifa!$C$13:$C$512,$J443)&amp;"")</f>
        <v/>
      </c>
      <c r="E443" s="40">
        <f>IF($J443="","",IF(INDEX(Tarifa!$D$13:$D$512,$J443)="","",INDEX(Tarifa!$D$13:$D$512,$J443)))</f>
        <v/>
      </c>
      <c r="F443" s="41">
        <f>IF(OR($J443="",$J$1=""),"",IF(INDEX(Tarifa!$G$13:$G$512,$J443)="","",IF(NOT(ISNUMBER(INDEX(Tarifa!$G$13:$G$512,$J443))),"Revisa",IF($J$1=1,INDEX(Tarifa!$G$13:$G$512,$J443),ROUND(ROUND(INDEX(Tarifa!$G$13:$G$512,$J443)*(1+$J$2/100)/$J$3,0)*$J$3,2)))))</f>
        <v/>
      </c>
      <c r="G443" s="42">
        <f>IF(OR(NOT(ISNUMBER(F443)),N(E443)&lt;=1),"",ROUND(F443/E443,3))</f>
        <v/>
      </c>
      <c r="H443" s="43">
        <f>IF($J443="","",IF(INDEX(Tarifa!$H$13:$H$512,$J443)="","",INDEX(Tarifa!$H$13:$H$512,$J443)))</f>
        <v/>
      </c>
      <c r="I443" s="41">
        <f>IF(OR($M$3="No",$M$3="",NOT(ISNUMBER(F443))),"",IF(NOT(ISNUMBER(H443)),"Falta IVA",ROUND(F443*(1+(H443+IF($M$3="Con IVA y recargo",IF(H443=21,5.2,IF(H443=10,1.4,IF(H443=4,0.5,0))),0))/100),2)))</f>
        <v/>
      </c>
      <c r="J443">
        <f>IFERROR(MATCH(433,Tarifa!$O$13:$O$512,0),"")</f>
        <v/>
      </c>
    </row>
    <row r="444" ht="17" customHeight="1">
      <c r="A444" s="38">
        <f>IF($J444="","",IFERROR(IF(INDEX(Tarifa!$E$13:$E$512,$J444)&amp;""=INDEX(Tarifa!$E$13:$E$512,$J443)&amp;"","",INDEX(Tarifa!$E$13:$E$512,$J444)&amp;""),""))</f>
        <v/>
      </c>
      <c r="B444" s="39">
        <f>IF($J444="","",INDEX(Tarifa!$A$13:$A$512,$J444)&amp;"")</f>
        <v/>
      </c>
      <c r="C444" s="39">
        <f>IF($J444="","",INDEX(Tarifa!$B$13:$B$512,$J444)&amp;"")</f>
        <v/>
      </c>
      <c r="D444" s="39">
        <f>IF($J444="","",INDEX(Tarifa!$C$13:$C$512,$J444)&amp;"")</f>
        <v/>
      </c>
      <c r="E444" s="40">
        <f>IF($J444="","",IF(INDEX(Tarifa!$D$13:$D$512,$J444)="","",INDEX(Tarifa!$D$13:$D$512,$J444)))</f>
        <v/>
      </c>
      <c r="F444" s="41">
        <f>IF(OR($J444="",$J$1=""),"",IF(INDEX(Tarifa!$G$13:$G$512,$J444)="","",IF(NOT(ISNUMBER(INDEX(Tarifa!$G$13:$G$512,$J444))),"Revisa",IF($J$1=1,INDEX(Tarifa!$G$13:$G$512,$J444),ROUND(ROUND(INDEX(Tarifa!$G$13:$G$512,$J444)*(1+$J$2/100)/$J$3,0)*$J$3,2)))))</f>
        <v/>
      </c>
      <c r="G444" s="42">
        <f>IF(OR(NOT(ISNUMBER(F444)),N(E444)&lt;=1),"",ROUND(F444/E444,3))</f>
        <v/>
      </c>
      <c r="H444" s="43">
        <f>IF($J444="","",IF(INDEX(Tarifa!$H$13:$H$512,$J444)="","",INDEX(Tarifa!$H$13:$H$512,$J444)))</f>
        <v/>
      </c>
      <c r="I444" s="41">
        <f>IF(OR($M$3="No",$M$3="",NOT(ISNUMBER(F444))),"",IF(NOT(ISNUMBER(H444)),"Falta IVA",ROUND(F444*(1+(H444+IF($M$3="Con IVA y recargo",IF(H444=21,5.2,IF(H444=10,1.4,IF(H444=4,0.5,0))),0))/100),2)))</f>
        <v/>
      </c>
      <c r="J444">
        <f>IFERROR(MATCH(434,Tarifa!$O$13:$O$512,0),"")</f>
        <v/>
      </c>
    </row>
    <row r="445" ht="17" customHeight="1">
      <c r="A445" s="38">
        <f>IF($J445="","",IFERROR(IF(INDEX(Tarifa!$E$13:$E$512,$J445)&amp;""=INDEX(Tarifa!$E$13:$E$512,$J444)&amp;"","",INDEX(Tarifa!$E$13:$E$512,$J445)&amp;""),""))</f>
        <v/>
      </c>
      <c r="B445" s="39">
        <f>IF($J445="","",INDEX(Tarifa!$A$13:$A$512,$J445)&amp;"")</f>
        <v/>
      </c>
      <c r="C445" s="39">
        <f>IF($J445="","",INDEX(Tarifa!$B$13:$B$512,$J445)&amp;"")</f>
        <v/>
      </c>
      <c r="D445" s="39">
        <f>IF($J445="","",INDEX(Tarifa!$C$13:$C$512,$J445)&amp;"")</f>
        <v/>
      </c>
      <c r="E445" s="40">
        <f>IF($J445="","",IF(INDEX(Tarifa!$D$13:$D$512,$J445)="","",INDEX(Tarifa!$D$13:$D$512,$J445)))</f>
        <v/>
      </c>
      <c r="F445" s="41">
        <f>IF(OR($J445="",$J$1=""),"",IF(INDEX(Tarifa!$G$13:$G$512,$J445)="","",IF(NOT(ISNUMBER(INDEX(Tarifa!$G$13:$G$512,$J445))),"Revisa",IF($J$1=1,INDEX(Tarifa!$G$13:$G$512,$J445),ROUND(ROUND(INDEX(Tarifa!$G$13:$G$512,$J445)*(1+$J$2/100)/$J$3,0)*$J$3,2)))))</f>
        <v/>
      </c>
      <c r="G445" s="42">
        <f>IF(OR(NOT(ISNUMBER(F445)),N(E445)&lt;=1),"",ROUND(F445/E445,3))</f>
        <v/>
      </c>
      <c r="H445" s="43">
        <f>IF($J445="","",IF(INDEX(Tarifa!$H$13:$H$512,$J445)="","",INDEX(Tarifa!$H$13:$H$512,$J445)))</f>
        <v/>
      </c>
      <c r="I445" s="41">
        <f>IF(OR($M$3="No",$M$3="",NOT(ISNUMBER(F445))),"",IF(NOT(ISNUMBER(H445)),"Falta IVA",ROUND(F445*(1+(H445+IF($M$3="Con IVA y recargo",IF(H445=21,5.2,IF(H445=10,1.4,IF(H445=4,0.5,0))),0))/100),2)))</f>
        <v/>
      </c>
      <c r="J445">
        <f>IFERROR(MATCH(435,Tarifa!$O$13:$O$512,0),"")</f>
        <v/>
      </c>
    </row>
    <row r="446" ht="17" customHeight="1">
      <c r="A446" s="38">
        <f>IF($J446="","",IFERROR(IF(INDEX(Tarifa!$E$13:$E$512,$J446)&amp;""=INDEX(Tarifa!$E$13:$E$512,$J445)&amp;"","",INDEX(Tarifa!$E$13:$E$512,$J446)&amp;""),""))</f>
        <v/>
      </c>
      <c r="B446" s="39">
        <f>IF($J446="","",INDEX(Tarifa!$A$13:$A$512,$J446)&amp;"")</f>
        <v/>
      </c>
      <c r="C446" s="39">
        <f>IF($J446="","",INDEX(Tarifa!$B$13:$B$512,$J446)&amp;"")</f>
        <v/>
      </c>
      <c r="D446" s="39">
        <f>IF($J446="","",INDEX(Tarifa!$C$13:$C$512,$J446)&amp;"")</f>
        <v/>
      </c>
      <c r="E446" s="40">
        <f>IF($J446="","",IF(INDEX(Tarifa!$D$13:$D$512,$J446)="","",INDEX(Tarifa!$D$13:$D$512,$J446)))</f>
        <v/>
      </c>
      <c r="F446" s="41">
        <f>IF(OR($J446="",$J$1=""),"",IF(INDEX(Tarifa!$G$13:$G$512,$J446)="","",IF(NOT(ISNUMBER(INDEX(Tarifa!$G$13:$G$512,$J446))),"Revisa",IF($J$1=1,INDEX(Tarifa!$G$13:$G$512,$J446),ROUND(ROUND(INDEX(Tarifa!$G$13:$G$512,$J446)*(1+$J$2/100)/$J$3,0)*$J$3,2)))))</f>
        <v/>
      </c>
      <c r="G446" s="42">
        <f>IF(OR(NOT(ISNUMBER(F446)),N(E446)&lt;=1),"",ROUND(F446/E446,3))</f>
        <v/>
      </c>
      <c r="H446" s="43">
        <f>IF($J446="","",IF(INDEX(Tarifa!$H$13:$H$512,$J446)="","",INDEX(Tarifa!$H$13:$H$512,$J446)))</f>
        <v/>
      </c>
      <c r="I446" s="41">
        <f>IF(OR($M$3="No",$M$3="",NOT(ISNUMBER(F446))),"",IF(NOT(ISNUMBER(H446)),"Falta IVA",ROUND(F446*(1+(H446+IF($M$3="Con IVA y recargo",IF(H446=21,5.2,IF(H446=10,1.4,IF(H446=4,0.5,0))),0))/100),2)))</f>
        <v/>
      </c>
      <c r="J446">
        <f>IFERROR(MATCH(436,Tarifa!$O$13:$O$512,0),"")</f>
        <v/>
      </c>
    </row>
    <row r="447" ht="17" customHeight="1">
      <c r="A447" s="38">
        <f>IF($J447="","",IFERROR(IF(INDEX(Tarifa!$E$13:$E$512,$J447)&amp;""=INDEX(Tarifa!$E$13:$E$512,$J446)&amp;"","",INDEX(Tarifa!$E$13:$E$512,$J447)&amp;""),""))</f>
        <v/>
      </c>
      <c r="B447" s="39">
        <f>IF($J447="","",INDEX(Tarifa!$A$13:$A$512,$J447)&amp;"")</f>
        <v/>
      </c>
      <c r="C447" s="39">
        <f>IF($J447="","",INDEX(Tarifa!$B$13:$B$512,$J447)&amp;"")</f>
        <v/>
      </c>
      <c r="D447" s="39">
        <f>IF($J447="","",INDEX(Tarifa!$C$13:$C$512,$J447)&amp;"")</f>
        <v/>
      </c>
      <c r="E447" s="40">
        <f>IF($J447="","",IF(INDEX(Tarifa!$D$13:$D$512,$J447)="","",INDEX(Tarifa!$D$13:$D$512,$J447)))</f>
        <v/>
      </c>
      <c r="F447" s="41">
        <f>IF(OR($J447="",$J$1=""),"",IF(INDEX(Tarifa!$G$13:$G$512,$J447)="","",IF(NOT(ISNUMBER(INDEX(Tarifa!$G$13:$G$512,$J447))),"Revisa",IF($J$1=1,INDEX(Tarifa!$G$13:$G$512,$J447),ROUND(ROUND(INDEX(Tarifa!$G$13:$G$512,$J447)*(1+$J$2/100)/$J$3,0)*$J$3,2)))))</f>
        <v/>
      </c>
      <c r="G447" s="42">
        <f>IF(OR(NOT(ISNUMBER(F447)),N(E447)&lt;=1),"",ROUND(F447/E447,3))</f>
        <v/>
      </c>
      <c r="H447" s="43">
        <f>IF($J447="","",IF(INDEX(Tarifa!$H$13:$H$512,$J447)="","",INDEX(Tarifa!$H$13:$H$512,$J447)))</f>
        <v/>
      </c>
      <c r="I447" s="41">
        <f>IF(OR($M$3="No",$M$3="",NOT(ISNUMBER(F447))),"",IF(NOT(ISNUMBER(H447)),"Falta IVA",ROUND(F447*(1+(H447+IF($M$3="Con IVA y recargo",IF(H447=21,5.2,IF(H447=10,1.4,IF(H447=4,0.5,0))),0))/100),2)))</f>
        <v/>
      </c>
      <c r="J447">
        <f>IFERROR(MATCH(437,Tarifa!$O$13:$O$512,0),"")</f>
        <v/>
      </c>
    </row>
    <row r="448" ht="17" customHeight="1">
      <c r="A448" s="38">
        <f>IF($J448="","",IFERROR(IF(INDEX(Tarifa!$E$13:$E$512,$J448)&amp;""=INDEX(Tarifa!$E$13:$E$512,$J447)&amp;"","",INDEX(Tarifa!$E$13:$E$512,$J448)&amp;""),""))</f>
        <v/>
      </c>
      <c r="B448" s="39">
        <f>IF($J448="","",INDEX(Tarifa!$A$13:$A$512,$J448)&amp;"")</f>
        <v/>
      </c>
      <c r="C448" s="39">
        <f>IF($J448="","",INDEX(Tarifa!$B$13:$B$512,$J448)&amp;"")</f>
        <v/>
      </c>
      <c r="D448" s="39">
        <f>IF($J448="","",INDEX(Tarifa!$C$13:$C$512,$J448)&amp;"")</f>
        <v/>
      </c>
      <c r="E448" s="40">
        <f>IF($J448="","",IF(INDEX(Tarifa!$D$13:$D$512,$J448)="","",INDEX(Tarifa!$D$13:$D$512,$J448)))</f>
        <v/>
      </c>
      <c r="F448" s="41">
        <f>IF(OR($J448="",$J$1=""),"",IF(INDEX(Tarifa!$G$13:$G$512,$J448)="","",IF(NOT(ISNUMBER(INDEX(Tarifa!$G$13:$G$512,$J448))),"Revisa",IF($J$1=1,INDEX(Tarifa!$G$13:$G$512,$J448),ROUND(ROUND(INDEX(Tarifa!$G$13:$G$512,$J448)*(1+$J$2/100)/$J$3,0)*$J$3,2)))))</f>
        <v/>
      </c>
      <c r="G448" s="42">
        <f>IF(OR(NOT(ISNUMBER(F448)),N(E448)&lt;=1),"",ROUND(F448/E448,3))</f>
        <v/>
      </c>
      <c r="H448" s="43">
        <f>IF($J448="","",IF(INDEX(Tarifa!$H$13:$H$512,$J448)="","",INDEX(Tarifa!$H$13:$H$512,$J448)))</f>
        <v/>
      </c>
      <c r="I448" s="41">
        <f>IF(OR($M$3="No",$M$3="",NOT(ISNUMBER(F448))),"",IF(NOT(ISNUMBER(H448)),"Falta IVA",ROUND(F448*(1+(H448+IF($M$3="Con IVA y recargo",IF(H448=21,5.2,IF(H448=10,1.4,IF(H448=4,0.5,0))),0))/100),2)))</f>
        <v/>
      </c>
      <c r="J448">
        <f>IFERROR(MATCH(438,Tarifa!$O$13:$O$512,0),"")</f>
        <v/>
      </c>
    </row>
    <row r="449" ht="17" customHeight="1">
      <c r="A449" s="38">
        <f>IF($J449="","",IFERROR(IF(INDEX(Tarifa!$E$13:$E$512,$J449)&amp;""=INDEX(Tarifa!$E$13:$E$512,$J448)&amp;"","",INDEX(Tarifa!$E$13:$E$512,$J449)&amp;""),""))</f>
        <v/>
      </c>
      <c r="B449" s="39">
        <f>IF($J449="","",INDEX(Tarifa!$A$13:$A$512,$J449)&amp;"")</f>
        <v/>
      </c>
      <c r="C449" s="39">
        <f>IF($J449="","",INDEX(Tarifa!$B$13:$B$512,$J449)&amp;"")</f>
        <v/>
      </c>
      <c r="D449" s="39">
        <f>IF($J449="","",INDEX(Tarifa!$C$13:$C$512,$J449)&amp;"")</f>
        <v/>
      </c>
      <c r="E449" s="40">
        <f>IF($J449="","",IF(INDEX(Tarifa!$D$13:$D$512,$J449)="","",INDEX(Tarifa!$D$13:$D$512,$J449)))</f>
        <v/>
      </c>
      <c r="F449" s="41">
        <f>IF(OR($J449="",$J$1=""),"",IF(INDEX(Tarifa!$G$13:$G$512,$J449)="","",IF(NOT(ISNUMBER(INDEX(Tarifa!$G$13:$G$512,$J449))),"Revisa",IF($J$1=1,INDEX(Tarifa!$G$13:$G$512,$J449),ROUND(ROUND(INDEX(Tarifa!$G$13:$G$512,$J449)*(1+$J$2/100)/$J$3,0)*$J$3,2)))))</f>
        <v/>
      </c>
      <c r="G449" s="42">
        <f>IF(OR(NOT(ISNUMBER(F449)),N(E449)&lt;=1),"",ROUND(F449/E449,3))</f>
        <v/>
      </c>
      <c r="H449" s="43">
        <f>IF($J449="","",IF(INDEX(Tarifa!$H$13:$H$512,$J449)="","",INDEX(Tarifa!$H$13:$H$512,$J449)))</f>
        <v/>
      </c>
      <c r="I449" s="41">
        <f>IF(OR($M$3="No",$M$3="",NOT(ISNUMBER(F449))),"",IF(NOT(ISNUMBER(H449)),"Falta IVA",ROUND(F449*(1+(H449+IF($M$3="Con IVA y recargo",IF(H449=21,5.2,IF(H449=10,1.4,IF(H449=4,0.5,0))),0))/100),2)))</f>
        <v/>
      </c>
      <c r="J449">
        <f>IFERROR(MATCH(439,Tarifa!$O$13:$O$512,0),"")</f>
        <v/>
      </c>
    </row>
    <row r="450" ht="17" customHeight="1">
      <c r="A450" s="38">
        <f>IF($J450="","",IFERROR(IF(INDEX(Tarifa!$E$13:$E$512,$J450)&amp;""=INDEX(Tarifa!$E$13:$E$512,$J449)&amp;"","",INDEX(Tarifa!$E$13:$E$512,$J450)&amp;""),""))</f>
        <v/>
      </c>
      <c r="B450" s="39">
        <f>IF($J450="","",INDEX(Tarifa!$A$13:$A$512,$J450)&amp;"")</f>
        <v/>
      </c>
      <c r="C450" s="39">
        <f>IF($J450="","",INDEX(Tarifa!$B$13:$B$512,$J450)&amp;"")</f>
        <v/>
      </c>
      <c r="D450" s="39">
        <f>IF($J450="","",INDEX(Tarifa!$C$13:$C$512,$J450)&amp;"")</f>
        <v/>
      </c>
      <c r="E450" s="40">
        <f>IF($J450="","",IF(INDEX(Tarifa!$D$13:$D$512,$J450)="","",INDEX(Tarifa!$D$13:$D$512,$J450)))</f>
        <v/>
      </c>
      <c r="F450" s="41">
        <f>IF(OR($J450="",$J$1=""),"",IF(INDEX(Tarifa!$G$13:$G$512,$J450)="","",IF(NOT(ISNUMBER(INDEX(Tarifa!$G$13:$G$512,$J450))),"Revisa",IF($J$1=1,INDEX(Tarifa!$G$13:$G$512,$J450),ROUND(ROUND(INDEX(Tarifa!$G$13:$G$512,$J450)*(1+$J$2/100)/$J$3,0)*$J$3,2)))))</f>
        <v/>
      </c>
      <c r="G450" s="42">
        <f>IF(OR(NOT(ISNUMBER(F450)),N(E450)&lt;=1),"",ROUND(F450/E450,3))</f>
        <v/>
      </c>
      <c r="H450" s="43">
        <f>IF($J450="","",IF(INDEX(Tarifa!$H$13:$H$512,$J450)="","",INDEX(Tarifa!$H$13:$H$512,$J450)))</f>
        <v/>
      </c>
      <c r="I450" s="41">
        <f>IF(OR($M$3="No",$M$3="",NOT(ISNUMBER(F450))),"",IF(NOT(ISNUMBER(H450)),"Falta IVA",ROUND(F450*(1+(H450+IF($M$3="Con IVA y recargo",IF(H450=21,5.2,IF(H450=10,1.4,IF(H450=4,0.5,0))),0))/100),2)))</f>
        <v/>
      </c>
      <c r="J450">
        <f>IFERROR(MATCH(440,Tarifa!$O$13:$O$512,0),"")</f>
        <v/>
      </c>
    </row>
    <row r="451" ht="17" customHeight="1">
      <c r="A451" s="38">
        <f>IF($J451="","",IFERROR(IF(INDEX(Tarifa!$E$13:$E$512,$J451)&amp;""=INDEX(Tarifa!$E$13:$E$512,$J450)&amp;"","",INDEX(Tarifa!$E$13:$E$512,$J451)&amp;""),""))</f>
        <v/>
      </c>
      <c r="B451" s="39">
        <f>IF($J451="","",INDEX(Tarifa!$A$13:$A$512,$J451)&amp;"")</f>
        <v/>
      </c>
      <c r="C451" s="39">
        <f>IF($J451="","",INDEX(Tarifa!$B$13:$B$512,$J451)&amp;"")</f>
        <v/>
      </c>
      <c r="D451" s="39">
        <f>IF($J451="","",INDEX(Tarifa!$C$13:$C$512,$J451)&amp;"")</f>
        <v/>
      </c>
      <c r="E451" s="40">
        <f>IF($J451="","",IF(INDEX(Tarifa!$D$13:$D$512,$J451)="","",INDEX(Tarifa!$D$13:$D$512,$J451)))</f>
        <v/>
      </c>
      <c r="F451" s="41">
        <f>IF(OR($J451="",$J$1=""),"",IF(INDEX(Tarifa!$G$13:$G$512,$J451)="","",IF(NOT(ISNUMBER(INDEX(Tarifa!$G$13:$G$512,$J451))),"Revisa",IF($J$1=1,INDEX(Tarifa!$G$13:$G$512,$J451),ROUND(ROUND(INDEX(Tarifa!$G$13:$G$512,$J451)*(1+$J$2/100)/$J$3,0)*$J$3,2)))))</f>
        <v/>
      </c>
      <c r="G451" s="42">
        <f>IF(OR(NOT(ISNUMBER(F451)),N(E451)&lt;=1),"",ROUND(F451/E451,3))</f>
        <v/>
      </c>
      <c r="H451" s="43">
        <f>IF($J451="","",IF(INDEX(Tarifa!$H$13:$H$512,$J451)="","",INDEX(Tarifa!$H$13:$H$512,$J451)))</f>
        <v/>
      </c>
      <c r="I451" s="41">
        <f>IF(OR($M$3="No",$M$3="",NOT(ISNUMBER(F451))),"",IF(NOT(ISNUMBER(H451)),"Falta IVA",ROUND(F451*(1+(H451+IF($M$3="Con IVA y recargo",IF(H451=21,5.2,IF(H451=10,1.4,IF(H451=4,0.5,0))),0))/100),2)))</f>
        <v/>
      </c>
      <c r="J451">
        <f>IFERROR(MATCH(441,Tarifa!$O$13:$O$512,0),"")</f>
        <v/>
      </c>
    </row>
    <row r="452" ht="17" customHeight="1">
      <c r="A452" s="38">
        <f>IF($J452="","",IFERROR(IF(INDEX(Tarifa!$E$13:$E$512,$J452)&amp;""=INDEX(Tarifa!$E$13:$E$512,$J451)&amp;"","",INDEX(Tarifa!$E$13:$E$512,$J452)&amp;""),""))</f>
        <v/>
      </c>
      <c r="B452" s="39">
        <f>IF($J452="","",INDEX(Tarifa!$A$13:$A$512,$J452)&amp;"")</f>
        <v/>
      </c>
      <c r="C452" s="39">
        <f>IF($J452="","",INDEX(Tarifa!$B$13:$B$512,$J452)&amp;"")</f>
        <v/>
      </c>
      <c r="D452" s="39">
        <f>IF($J452="","",INDEX(Tarifa!$C$13:$C$512,$J452)&amp;"")</f>
        <v/>
      </c>
      <c r="E452" s="40">
        <f>IF($J452="","",IF(INDEX(Tarifa!$D$13:$D$512,$J452)="","",INDEX(Tarifa!$D$13:$D$512,$J452)))</f>
        <v/>
      </c>
      <c r="F452" s="41">
        <f>IF(OR($J452="",$J$1=""),"",IF(INDEX(Tarifa!$G$13:$G$512,$J452)="","",IF(NOT(ISNUMBER(INDEX(Tarifa!$G$13:$G$512,$J452))),"Revisa",IF($J$1=1,INDEX(Tarifa!$G$13:$G$512,$J452),ROUND(ROUND(INDEX(Tarifa!$G$13:$G$512,$J452)*(1+$J$2/100)/$J$3,0)*$J$3,2)))))</f>
        <v/>
      </c>
      <c r="G452" s="42">
        <f>IF(OR(NOT(ISNUMBER(F452)),N(E452)&lt;=1),"",ROUND(F452/E452,3))</f>
        <v/>
      </c>
      <c r="H452" s="43">
        <f>IF($J452="","",IF(INDEX(Tarifa!$H$13:$H$512,$J452)="","",INDEX(Tarifa!$H$13:$H$512,$J452)))</f>
        <v/>
      </c>
      <c r="I452" s="41">
        <f>IF(OR($M$3="No",$M$3="",NOT(ISNUMBER(F452))),"",IF(NOT(ISNUMBER(H452)),"Falta IVA",ROUND(F452*(1+(H452+IF($M$3="Con IVA y recargo",IF(H452=21,5.2,IF(H452=10,1.4,IF(H452=4,0.5,0))),0))/100),2)))</f>
        <v/>
      </c>
      <c r="J452">
        <f>IFERROR(MATCH(442,Tarifa!$O$13:$O$512,0),"")</f>
        <v/>
      </c>
    </row>
    <row r="453" ht="17" customHeight="1">
      <c r="A453" s="38">
        <f>IF($J453="","",IFERROR(IF(INDEX(Tarifa!$E$13:$E$512,$J453)&amp;""=INDEX(Tarifa!$E$13:$E$512,$J452)&amp;"","",INDEX(Tarifa!$E$13:$E$512,$J453)&amp;""),""))</f>
        <v/>
      </c>
      <c r="B453" s="39">
        <f>IF($J453="","",INDEX(Tarifa!$A$13:$A$512,$J453)&amp;"")</f>
        <v/>
      </c>
      <c r="C453" s="39">
        <f>IF($J453="","",INDEX(Tarifa!$B$13:$B$512,$J453)&amp;"")</f>
        <v/>
      </c>
      <c r="D453" s="39">
        <f>IF($J453="","",INDEX(Tarifa!$C$13:$C$512,$J453)&amp;"")</f>
        <v/>
      </c>
      <c r="E453" s="40">
        <f>IF($J453="","",IF(INDEX(Tarifa!$D$13:$D$512,$J453)="","",INDEX(Tarifa!$D$13:$D$512,$J453)))</f>
        <v/>
      </c>
      <c r="F453" s="41">
        <f>IF(OR($J453="",$J$1=""),"",IF(INDEX(Tarifa!$G$13:$G$512,$J453)="","",IF(NOT(ISNUMBER(INDEX(Tarifa!$G$13:$G$512,$J453))),"Revisa",IF($J$1=1,INDEX(Tarifa!$G$13:$G$512,$J453),ROUND(ROUND(INDEX(Tarifa!$G$13:$G$512,$J453)*(1+$J$2/100)/$J$3,0)*$J$3,2)))))</f>
        <v/>
      </c>
      <c r="G453" s="42">
        <f>IF(OR(NOT(ISNUMBER(F453)),N(E453)&lt;=1),"",ROUND(F453/E453,3))</f>
        <v/>
      </c>
      <c r="H453" s="43">
        <f>IF($J453="","",IF(INDEX(Tarifa!$H$13:$H$512,$J453)="","",INDEX(Tarifa!$H$13:$H$512,$J453)))</f>
        <v/>
      </c>
      <c r="I453" s="41">
        <f>IF(OR($M$3="No",$M$3="",NOT(ISNUMBER(F453))),"",IF(NOT(ISNUMBER(H453)),"Falta IVA",ROUND(F453*(1+(H453+IF($M$3="Con IVA y recargo",IF(H453=21,5.2,IF(H453=10,1.4,IF(H453=4,0.5,0))),0))/100),2)))</f>
        <v/>
      </c>
      <c r="J453">
        <f>IFERROR(MATCH(443,Tarifa!$O$13:$O$512,0),"")</f>
        <v/>
      </c>
    </row>
    <row r="454" ht="17" customHeight="1">
      <c r="A454" s="38">
        <f>IF($J454="","",IFERROR(IF(INDEX(Tarifa!$E$13:$E$512,$J454)&amp;""=INDEX(Tarifa!$E$13:$E$512,$J453)&amp;"","",INDEX(Tarifa!$E$13:$E$512,$J454)&amp;""),""))</f>
        <v/>
      </c>
      <c r="B454" s="39">
        <f>IF($J454="","",INDEX(Tarifa!$A$13:$A$512,$J454)&amp;"")</f>
        <v/>
      </c>
      <c r="C454" s="39">
        <f>IF($J454="","",INDEX(Tarifa!$B$13:$B$512,$J454)&amp;"")</f>
        <v/>
      </c>
      <c r="D454" s="39">
        <f>IF($J454="","",INDEX(Tarifa!$C$13:$C$512,$J454)&amp;"")</f>
        <v/>
      </c>
      <c r="E454" s="40">
        <f>IF($J454="","",IF(INDEX(Tarifa!$D$13:$D$512,$J454)="","",INDEX(Tarifa!$D$13:$D$512,$J454)))</f>
        <v/>
      </c>
      <c r="F454" s="41">
        <f>IF(OR($J454="",$J$1=""),"",IF(INDEX(Tarifa!$G$13:$G$512,$J454)="","",IF(NOT(ISNUMBER(INDEX(Tarifa!$G$13:$G$512,$J454))),"Revisa",IF($J$1=1,INDEX(Tarifa!$G$13:$G$512,$J454),ROUND(ROUND(INDEX(Tarifa!$G$13:$G$512,$J454)*(1+$J$2/100)/$J$3,0)*$J$3,2)))))</f>
        <v/>
      </c>
      <c r="G454" s="42">
        <f>IF(OR(NOT(ISNUMBER(F454)),N(E454)&lt;=1),"",ROUND(F454/E454,3))</f>
        <v/>
      </c>
      <c r="H454" s="43">
        <f>IF($J454="","",IF(INDEX(Tarifa!$H$13:$H$512,$J454)="","",INDEX(Tarifa!$H$13:$H$512,$J454)))</f>
        <v/>
      </c>
      <c r="I454" s="41">
        <f>IF(OR($M$3="No",$M$3="",NOT(ISNUMBER(F454))),"",IF(NOT(ISNUMBER(H454)),"Falta IVA",ROUND(F454*(1+(H454+IF($M$3="Con IVA y recargo",IF(H454=21,5.2,IF(H454=10,1.4,IF(H454=4,0.5,0))),0))/100),2)))</f>
        <v/>
      </c>
      <c r="J454">
        <f>IFERROR(MATCH(444,Tarifa!$O$13:$O$512,0),"")</f>
        <v/>
      </c>
    </row>
    <row r="455" ht="17" customHeight="1">
      <c r="A455" s="38">
        <f>IF($J455="","",IFERROR(IF(INDEX(Tarifa!$E$13:$E$512,$J455)&amp;""=INDEX(Tarifa!$E$13:$E$512,$J454)&amp;"","",INDEX(Tarifa!$E$13:$E$512,$J455)&amp;""),""))</f>
        <v/>
      </c>
      <c r="B455" s="39">
        <f>IF($J455="","",INDEX(Tarifa!$A$13:$A$512,$J455)&amp;"")</f>
        <v/>
      </c>
      <c r="C455" s="39">
        <f>IF($J455="","",INDEX(Tarifa!$B$13:$B$512,$J455)&amp;"")</f>
        <v/>
      </c>
      <c r="D455" s="39">
        <f>IF($J455="","",INDEX(Tarifa!$C$13:$C$512,$J455)&amp;"")</f>
        <v/>
      </c>
      <c r="E455" s="40">
        <f>IF($J455="","",IF(INDEX(Tarifa!$D$13:$D$512,$J455)="","",INDEX(Tarifa!$D$13:$D$512,$J455)))</f>
        <v/>
      </c>
      <c r="F455" s="41">
        <f>IF(OR($J455="",$J$1=""),"",IF(INDEX(Tarifa!$G$13:$G$512,$J455)="","",IF(NOT(ISNUMBER(INDEX(Tarifa!$G$13:$G$512,$J455))),"Revisa",IF($J$1=1,INDEX(Tarifa!$G$13:$G$512,$J455),ROUND(ROUND(INDEX(Tarifa!$G$13:$G$512,$J455)*(1+$J$2/100)/$J$3,0)*$J$3,2)))))</f>
        <v/>
      </c>
      <c r="G455" s="42">
        <f>IF(OR(NOT(ISNUMBER(F455)),N(E455)&lt;=1),"",ROUND(F455/E455,3))</f>
        <v/>
      </c>
      <c r="H455" s="43">
        <f>IF($J455="","",IF(INDEX(Tarifa!$H$13:$H$512,$J455)="","",INDEX(Tarifa!$H$13:$H$512,$J455)))</f>
        <v/>
      </c>
      <c r="I455" s="41">
        <f>IF(OR($M$3="No",$M$3="",NOT(ISNUMBER(F455))),"",IF(NOT(ISNUMBER(H455)),"Falta IVA",ROUND(F455*(1+(H455+IF($M$3="Con IVA y recargo",IF(H455=21,5.2,IF(H455=10,1.4,IF(H455=4,0.5,0))),0))/100),2)))</f>
        <v/>
      </c>
      <c r="J455">
        <f>IFERROR(MATCH(445,Tarifa!$O$13:$O$512,0),"")</f>
        <v/>
      </c>
    </row>
    <row r="456" ht="17" customHeight="1">
      <c r="A456" s="38">
        <f>IF($J456="","",IFERROR(IF(INDEX(Tarifa!$E$13:$E$512,$J456)&amp;""=INDEX(Tarifa!$E$13:$E$512,$J455)&amp;"","",INDEX(Tarifa!$E$13:$E$512,$J456)&amp;""),""))</f>
        <v/>
      </c>
      <c r="B456" s="39">
        <f>IF($J456="","",INDEX(Tarifa!$A$13:$A$512,$J456)&amp;"")</f>
        <v/>
      </c>
      <c r="C456" s="39">
        <f>IF($J456="","",INDEX(Tarifa!$B$13:$B$512,$J456)&amp;"")</f>
        <v/>
      </c>
      <c r="D456" s="39">
        <f>IF($J456="","",INDEX(Tarifa!$C$13:$C$512,$J456)&amp;"")</f>
        <v/>
      </c>
      <c r="E456" s="40">
        <f>IF($J456="","",IF(INDEX(Tarifa!$D$13:$D$512,$J456)="","",INDEX(Tarifa!$D$13:$D$512,$J456)))</f>
        <v/>
      </c>
      <c r="F456" s="41">
        <f>IF(OR($J456="",$J$1=""),"",IF(INDEX(Tarifa!$G$13:$G$512,$J456)="","",IF(NOT(ISNUMBER(INDEX(Tarifa!$G$13:$G$512,$J456))),"Revisa",IF($J$1=1,INDEX(Tarifa!$G$13:$G$512,$J456),ROUND(ROUND(INDEX(Tarifa!$G$13:$G$512,$J456)*(1+$J$2/100)/$J$3,0)*$J$3,2)))))</f>
        <v/>
      </c>
      <c r="G456" s="42">
        <f>IF(OR(NOT(ISNUMBER(F456)),N(E456)&lt;=1),"",ROUND(F456/E456,3))</f>
        <v/>
      </c>
      <c r="H456" s="43">
        <f>IF($J456="","",IF(INDEX(Tarifa!$H$13:$H$512,$J456)="","",INDEX(Tarifa!$H$13:$H$512,$J456)))</f>
        <v/>
      </c>
      <c r="I456" s="41">
        <f>IF(OR($M$3="No",$M$3="",NOT(ISNUMBER(F456))),"",IF(NOT(ISNUMBER(H456)),"Falta IVA",ROUND(F456*(1+(H456+IF($M$3="Con IVA y recargo",IF(H456=21,5.2,IF(H456=10,1.4,IF(H456=4,0.5,0))),0))/100),2)))</f>
        <v/>
      </c>
      <c r="J456">
        <f>IFERROR(MATCH(446,Tarifa!$O$13:$O$512,0),"")</f>
        <v/>
      </c>
    </row>
    <row r="457" ht="17" customHeight="1">
      <c r="A457" s="38">
        <f>IF($J457="","",IFERROR(IF(INDEX(Tarifa!$E$13:$E$512,$J457)&amp;""=INDEX(Tarifa!$E$13:$E$512,$J456)&amp;"","",INDEX(Tarifa!$E$13:$E$512,$J457)&amp;""),""))</f>
        <v/>
      </c>
      <c r="B457" s="39">
        <f>IF($J457="","",INDEX(Tarifa!$A$13:$A$512,$J457)&amp;"")</f>
        <v/>
      </c>
      <c r="C457" s="39">
        <f>IF($J457="","",INDEX(Tarifa!$B$13:$B$512,$J457)&amp;"")</f>
        <v/>
      </c>
      <c r="D457" s="39">
        <f>IF($J457="","",INDEX(Tarifa!$C$13:$C$512,$J457)&amp;"")</f>
        <v/>
      </c>
      <c r="E457" s="40">
        <f>IF($J457="","",IF(INDEX(Tarifa!$D$13:$D$512,$J457)="","",INDEX(Tarifa!$D$13:$D$512,$J457)))</f>
        <v/>
      </c>
      <c r="F457" s="41">
        <f>IF(OR($J457="",$J$1=""),"",IF(INDEX(Tarifa!$G$13:$G$512,$J457)="","",IF(NOT(ISNUMBER(INDEX(Tarifa!$G$13:$G$512,$J457))),"Revisa",IF($J$1=1,INDEX(Tarifa!$G$13:$G$512,$J457),ROUND(ROUND(INDEX(Tarifa!$G$13:$G$512,$J457)*(1+$J$2/100)/$J$3,0)*$J$3,2)))))</f>
        <v/>
      </c>
      <c r="G457" s="42">
        <f>IF(OR(NOT(ISNUMBER(F457)),N(E457)&lt;=1),"",ROUND(F457/E457,3))</f>
        <v/>
      </c>
      <c r="H457" s="43">
        <f>IF($J457="","",IF(INDEX(Tarifa!$H$13:$H$512,$J457)="","",INDEX(Tarifa!$H$13:$H$512,$J457)))</f>
        <v/>
      </c>
      <c r="I457" s="41">
        <f>IF(OR($M$3="No",$M$3="",NOT(ISNUMBER(F457))),"",IF(NOT(ISNUMBER(H457)),"Falta IVA",ROUND(F457*(1+(H457+IF($M$3="Con IVA y recargo",IF(H457=21,5.2,IF(H457=10,1.4,IF(H457=4,0.5,0))),0))/100),2)))</f>
        <v/>
      </c>
      <c r="J457">
        <f>IFERROR(MATCH(447,Tarifa!$O$13:$O$512,0),"")</f>
        <v/>
      </c>
    </row>
    <row r="458" ht="17" customHeight="1">
      <c r="A458" s="38">
        <f>IF($J458="","",IFERROR(IF(INDEX(Tarifa!$E$13:$E$512,$J458)&amp;""=INDEX(Tarifa!$E$13:$E$512,$J457)&amp;"","",INDEX(Tarifa!$E$13:$E$512,$J458)&amp;""),""))</f>
        <v/>
      </c>
      <c r="B458" s="39">
        <f>IF($J458="","",INDEX(Tarifa!$A$13:$A$512,$J458)&amp;"")</f>
        <v/>
      </c>
      <c r="C458" s="39">
        <f>IF($J458="","",INDEX(Tarifa!$B$13:$B$512,$J458)&amp;"")</f>
        <v/>
      </c>
      <c r="D458" s="39">
        <f>IF($J458="","",INDEX(Tarifa!$C$13:$C$512,$J458)&amp;"")</f>
        <v/>
      </c>
      <c r="E458" s="40">
        <f>IF($J458="","",IF(INDEX(Tarifa!$D$13:$D$512,$J458)="","",INDEX(Tarifa!$D$13:$D$512,$J458)))</f>
        <v/>
      </c>
      <c r="F458" s="41">
        <f>IF(OR($J458="",$J$1=""),"",IF(INDEX(Tarifa!$G$13:$G$512,$J458)="","",IF(NOT(ISNUMBER(INDEX(Tarifa!$G$13:$G$512,$J458))),"Revisa",IF($J$1=1,INDEX(Tarifa!$G$13:$G$512,$J458),ROUND(ROUND(INDEX(Tarifa!$G$13:$G$512,$J458)*(1+$J$2/100)/$J$3,0)*$J$3,2)))))</f>
        <v/>
      </c>
      <c r="G458" s="42">
        <f>IF(OR(NOT(ISNUMBER(F458)),N(E458)&lt;=1),"",ROUND(F458/E458,3))</f>
        <v/>
      </c>
      <c r="H458" s="43">
        <f>IF($J458="","",IF(INDEX(Tarifa!$H$13:$H$512,$J458)="","",INDEX(Tarifa!$H$13:$H$512,$J458)))</f>
        <v/>
      </c>
      <c r="I458" s="41">
        <f>IF(OR($M$3="No",$M$3="",NOT(ISNUMBER(F458))),"",IF(NOT(ISNUMBER(H458)),"Falta IVA",ROUND(F458*(1+(H458+IF($M$3="Con IVA y recargo",IF(H458=21,5.2,IF(H458=10,1.4,IF(H458=4,0.5,0))),0))/100),2)))</f>
        <v/>
      </c>
      <c r="J458">
        <f>IFERROR(MATCH(448,Tarifa!$O$13:$O$512,0),"")</f>
        <v/>
      </c>
    </row>
    <row r="459" ht="17" customHeight="1">
      <c r="A459" s="38">
        <f>IF($J459="","",IFERROR(IF(INDEX(Tarifa!$E$13:$E$512,$J459)&amp;""=INDEX(Tarifa!$E$13:$E$512,$J458)&amp;"","",INDEX(Tarifa!$E$13:$E$512,$J459)&amp;""),""))</f>
        <v/>
      </c>
      <c r="B459" s="39">
        <f>IF($J459="","",INDEX(Tarifa!$A$13:$A$512,$J459)&amp;"")</f>
        <v/>
      </c>
      <c r="C459" s="39">
        <f>IF($J459="","",INDEX(Tarifa!$B$13:$B$512,$J459)&amp;"")</f>
        <v/>
      </c>
      <c r="D459" s="39">
        <f>IF($J459="","",INDEX(Tarifa!$C$13:$C$512,$J459)&amp;"")</f>
        <v/>
      </c>
      <c r="E459" s="40">
        <f>IF($J459="","",IF(INDEX(Tarifa!$D$13:$D$512,$J459)="","",INDEX(Tarifa!$D$13:$D$512,$J459)))</f>
        <v/>
      </c>
      <c r="F459" s="41">
        <f>IF(OR($J459="",$J$1=""),"",IF(INDEX(Tarifa!$G$13:$G$512,$J459)="","",IF(NOT(ISNUMBER(INDEX(Tarifa!$G$13:$G$512,$J459))),"Revisa",IF($J$1=1,INDEX(Tarifa!$G$13:$G$512,$J459),ROUND(ROUND(INDEX(Tarifa!$G$13:$G$512,$J459)*(1+$J$2/100)/$J$3,0)*$J$3,2)))))</f>
        <v/>
      </c>
      <c r="G459" s="42">
        <f>IF(OR(NOT(ISNUMBER(F459)),N(E459)&lt;=1),"",ROUND(F459/E459,3))</f>
        <v/>
      </c>
      <c r="H459" s="43">
        <f>IF($J459="","",IF(INDEX(Tarifa!$H$13:$H$512,$J459)="","",INDEX(Tarifa!$H$13:$H$512,$J459)))</f>
        <v/>
      </c>
      <c r="I459" s="41">
        <f>IF(OR($M$3="No",$M$3="",NOT(ISNUMBER(F459))),"",IF(NOT(ISNUMBER(H459)),"Falta IVA",ROUND(F459*(1+(H459+IF($M$3="Con IVA y recargo",IF(H459=21,5.2,IF(H459=10,1.4,IF(H459=4,0.5,0))),0))/100),2)))</f>
        <v/>
      </c>
      <c r="J459">
        <f>IFERROR(MATCH(449,Tarifa!$O$13:$O$512,0),"")</f>
        <v/>
      </c>
    </row>
    <row r="460" ht="17" customHeight="1">
      <c r="A460" s="38">
        <f>IF($J460="","",IFERROR(IF(INDEX(Tarifa!$E$13:$E$512,$J460)&amp;""=INDEX(Tarifa!$E$13:$E$512,$J459)&amp;"","",INDEX(Tarifa!$E$13:$E$512,$J460)&amp;""),""))</f>
        <v/>
      </c>
      <c r="B460" s="39">
        <f>IF($J460="","",INDEX(Tarifa!$A$13:$A$512,$J460)&amp;"")</f>
        <v/>
      </c>
      <c r="C460" s="39">
        <f>IF($J460="","",INDEX(Tarifa!$B$13:$B$512,$J460)&amp;"")</f>
        <v/>
      </c>
      <c r="D460" s="39">
        <f>IF($J460="","",INDEX(Tarifa!$C$13:$C$512,$J460)&amp;"")</f>
        <v/>
      </c>
      <c r="E460" s="40">
        <f>IF($J460="","",IF(INDEX(Tarifa!$D$13:$D$512,$J460)="","",INDEX(Tarifa!$D$13:$D$512,$J460)))</f>
        <v/>
      </c>
      <c r="F460" s="41">
        <f>IF(OR($J460="",$J$1=""),"",IF(INDEX(Tarifa!$G$13:$G$512,$J460)="","",IF(NOT(ISNUMBER(INDEX(Tarifa!$G$13:$G$512,$J460))),"Revisa",IF($J$1=1,INDEX(Tarifa!$G$13:$G$512,$J460),ROUND(ROUND(INDEX(Tarifa!$G$13:$G$512,$J460)*(1+$J$2/100)/$J$3,0)*$J$3,2)))))</f>
        <v/>
      </c>
      <c r="G460" s="42">
        <f>IF(OR(NOT(ISNUMBER(F460)),N(E460)&lt;=1),"",ROUND(F460/E460,3))</f>
        <v/>
      </c>
      <c r="H460" s="43">
        <f>IF($J460="","",IF(INDEX(Tarifa!$H$13:$H$512,$J460)="","",INDEX(Tarifa!$H$13:$H$512,$J460)))</f>
        <v/>
      </c>
      <c r="I460" s="41">
        <f>IF(OR($M$3="No",$M$3="",NOT(ISNUMBER(F460))),"",IF(NOT(ISNUMBER(H460)),"Falta IVA",ROUND(F460*(1+(H460+IF($M$3="Con IVA y recargo",IF(H460=21,5.2,IF(H460=10,1.4,IF(H460=4,0.5,0))),0))/100),2)))</f>
        <v/>
      </c>
      <c r="J460">
        <f>IFERROR(MATCH(450,Tarifa!$O$13:$O$512,0),"")</f>
        <v/>
      </c>
    </row>
    <row r="461" ht="17" customHeight="1">
      <c r="A461" s="38">
        <f>IF($J461="","",IFERROR(IF(INDEX(Tarifa!$E$13:$E$512,$J461)&amp;""=INDEX(Tarifa!$E$13:$E$512,$J460)&amp;"","",INDEX(Tarifa!$E$13:$E$512,$J461)&amp;""),""))</f>
        <v/>
      </c>
      <c r="B461" s="39">
        <f>IF($J461="","",INDEX(Tarifa!$A$13:$A$512,$J461)&amp;"")</f>
        <v/>
      </c>
      <c r="C461" s="39">
        <f>IF($J461="","",INDEX(Tarifa!$B$13:$B$512,$J461)&amp;"")</f>
        <v/>
      </c>
      <c r="D461" s="39">
        <f>IF($J461="","",INDEX(Tarifa!$C$13:$C$512,$J461)&amp;"")</f>
        <v/>
      </c>
      <c r="E461" s="40">
        <f>IF($J461="","",IF(INDEX(Tarifa!$D$13:$D$512,$J461)="","",INDEX(Tarifa!$D$13:$D$512,$J461)))</f>
        <v/>
      </c>
      <c r="F461" s="41">
        <f>IF(OR($J461="",$J$1=""),"",IF(INDEX(Tarifa!$G$13:$G$512,$J461)="","",IF(NOT(ISNUMBER(INDEX(Tarifa!$G$13:$G$512,$J461))),"Revisa",IF($J$1=1,INDEX(Tarifa!$G$13:$G$512,$J461),ROUND(ROUND(INDEX(Tarifa!$G$13:$G$512,$J461)*(1+$J$2/100)/$J$3,0)*$J$3,2)))))</f>
        <v/>
      </c>
      <c r="G461" s="42">
        <f>IF(OR(NOT(ISNUMBER(F461)),N(E461)&lt;=1),"",ROUND(F461/E461,3))</f>
        <v/>
      </c>
      <c r="H461" s="43">
        <f>IF($J461="","",IF(INDEX(Tarifa!$H$13:$H$512,$J461)="","",INDEX(Tarifa!$H$13:$H$512,$J461)))</f>
        <v/>
      </c>
      <c r="I461" s="41">
        <f>IF(OR($M$3="No",$M$3="",NOT(ISNUMBER(F461))),"",IF(NOT(ISNUMBER(H461)),"Falta IVA",ROUND(F461*(1+(H461+IF($M$3="Con IVA y recargo",IF(H461=21,5.2,IF(H461=10,1.4,IF(H461=4,0.5,0))),0))/100),2)))</f>
        <v/>
      </c>
      <c r="J461">
        <f>IFERROR(MATCH(451,Tarifa!$O$13:$O$512,0),"")</f>
        <v/>
      </c>
    </row>
    <row r="462" ht="17" customHeight="1">
      <c r="A462" s="38">
        <f>IF($J462="","",IFERROR(IF(INDEX(Tarifa!$E$13:$E$512,$J462)&amp;""=INDEX(Tarifa!$E$13:$E$512,$J461)&amp;"","",INDEX(Tarifa!$E$13:$E$512,$J462)&amp;""),""))</f>
        <v/>
      </c>
      <c r="B462" s="39">
        <f>IF($J462="","",INDEX(Tarifa!$A$13:$A$512,$J462)&amp;"")</f>
        <v/>
      </c>
      <c r="C462" s="39">
        <f>IF($J462="","",INDEX(Tarifa!$B$13:$B$512,$J462)&amp;"")</f>
        <v/>
      </c>
      <c r="D462" s="39">
        <f>IF($J462="","",INDEX(Tarifa!$C$13:$C$512,$J462)&amp;"")</f>
        <v/>
      </c>
      <c r="E462" s="40">
        <f>IF($J462="","",IF(INDEX(Tarifa!$D$13:$D$512,$J462)="","",INDEX(Tarifa!$D$13:$D$512,$J462)))</f>
        <v/>
      </c>
      <c r="F462" s="41">
        <f>IF(OR($J462="",$J$1=""),"",IF(INDEX(Tarifa!$G$13:$G$512,$J462)="","",IF(NOT(ISNUMBER(INDEX(Tarifa!$G$13:$G$512,$J462))),"Revisa",IF($J$1=1,INDEX(Tarifa!$G$13:$G$512,$J462),ROUND(ROUND(INDEX(Tarifa!$G$13:$G$512,$J462)*(1+$J$2/100)/$J$3,0)*$J$3,2)))))</f>
        <v/>
      </c>
      <c r="G462" s="42">
        <f>IF(OR(NOT(ISNUMBER(F462)),N(E462)&lt;=1),"",ROUND(F462/E462,3))</f>
        <v/>
      </c>
      <c r="H462" s="43">
        <f>IF($J462="","",IF(INDEX(Tarifa!$H$13:$H$512,$J462)="","",INDEX(Tarifa!$H$13:$H$512,$J462)))</f>
        <v/>
      </c>
      <c r="I462" s="41">
        <f>IF(OR($M$3="No",$M$3="",NOT(ISNUMBER(F462))),"",IF(NOT(ISNUMBER(H462)),"Falta IVA",ROUND(F462*(1+(H462+IF($M$3="Con IVA y recargo",IF(H462=21,5.2,IF(H462=10,1.4,IF(H462=4,0.5,0))),0))/100),2)))</f>
        <v/>
      </c>
      <c r="J462">
        <f>IFERROR(MATCH(452,Tarifa!$O$13:$O$512,0),"")</f>
        <v/>
      </c>
    </row>
    <row r="463" ht="17" customHeight="1">
      <c r="A463" s="38">
        <f>IF($J463="","",IFERROR(IF(INDEX(Tarifa!$E$13:$E$512,$J463)&amp;""=INDEX(Tarifa!$E$13:$E$512,$J462)&amp;"","",INDEX(Tarifa!$E$13:$E$512,$J463)&amp;""),""))</f>
        <v/>
      </c>
      <c r="B463" s="39">
        <f>IF($J463="","",INDEX(Tarifa!$A$13:$A$512,$J463)&amp;"")</f>
        <v/>
      </c>
      <c r="C463" s="39">
        <f>IF($J463="","",INDEX(Tarifa!$B$13:$B$512,$J463)&amp;"")</f>
        <v/>
      </c>
      <c r="D463" s="39">
        <f>IF($J463="","",INDEX(Tarifa!$C$13:$C$512,$J463)&amp;"")</f>
        <v/>
      </c>
      <c r="E463" s="40">
        <f>IF($J463="","",IF(INDEX(Tarifa!$D$13:$D$512,$J463)="","",INDEX(Tarifa!$D$13:$D$512,$J463)))</f>
        <v/>
      </c>
      <c r="F463" s="41">
        <f>IF(OR($J463="",$J$1=""),"",IF(INDEX(Tarifa!$G$13:$G$512,$J463)="","",IF(NOT(ISNUMBER(INDEX(Tarifa!$G$13:$G$512,$J463))),"Revisa",IF($J$1=1,INDEX(Tarifa!$G$13:$G$512,$J463),ROUND(ROUND(INDEX(Tarifa!$G$13:$G$512,$J463)*(1+$J$2/100)/$J$3,0)*$J$3,2)))))</f>
        <v/>
      </c>
      <c r="G463" s="42">
        <f>IF(OR(NOT(ISNUMBER(F463)),N(E463)&lt;=1),"",ROUND(F463/E463,3))</f>
        <v/>
      </c>
      <c r="H463" s="43">
        <f>IF($J463="","",IF(INDEX(Tarifa!$H$13:$H$512,$J463)="","",INDEX(Tarifa!$H$13:$H$512,$J463)))</f>
        <v/>
      </c>
      <c r="I463" s="41">
        <f>IF(OR($M$3="No",$M$3="",NOT(ISNUMBER(F463))),"",IF(NOT(ISNUMBER(H463)),"Falta IVA",ROUND(F463*(1+(H463+IF($M$3="Con IVA y recargo",IF(H463=21,5.2,IF(H463=10,1.4,IF(H463=4,0.5,0))),0))/100),2)))</f>
        <v/>
      </c>
      <c r="J463">
        <f>IFERROR(MATCH(453,Tarifa!$O$13:$O$512,0),"")</f>
        <v/>
      </c>
    </row>
    <row r="464" ht="17" customHeight="1">
      <c r="A464" s="38">
        <f>IF($J464="","",IFERROR(IF(INDEX(Tarifa!$E$13:$E$512,$J464)&amp;""=INDEX(Tarifa!$E$13:$E$512,$J463)&amp;"","",INDEX(Tarifa!$E$13:$E$512,$J464)&amp;""),""))</f>
        <v/>
      </c>
      <c r="B464" s="39">
        <f>IF($J464="","",INDEX(Tarifa!$A$13:$A$512,$J464)&amp;"")</f>
        <v/>
      </c>
      <c r="C464" s="39">
        <f>IF($J464="","",INDEX(Tarifa!$B$13:$B$512,$J464)&amp;"")</f>
        <v/>
      </c>
      <c r="D464" s="39">
        <f>IF($J464="","",INDEX(Tarifa!$C$13:$C$512,$J464)&amp;"")</f>
        <v/>
      </c>
      <c r="E464" s="40">
        <f>IF($J464="","",IF(INDEX(Tarifa!$D$13:$D$512,$J464)="","",INDEX(Tarifa!$D$13:$D$512,$J464)))</f>
        <v/>
      </c>
      <c r="F464" s="41">
        <f>IF(OR($J464="",$J$1=""),"",IF(INDEX(Tarifa!$G$13:$G$512,$J464)="","",IF(NOT(ISNUMBER(INDEX(Tarifa!$G$13:$G$512,$J464))),"Revisa",IF($J$1=1,INDEX(Tarifa!$G$13:$G$512,$J464),ROUND(ROUND(INDEX(Tarifa!$G$13:$G$512,$J464)*(1+$J$2/100)/$J$3,0)*$J$3,2)))))</f>
        <v/>
      </c>
      <c r="G464" s="42">
        <f>IF(OR(NOT(ISNUMBER(F464)),N(E464)&lt;=1),"",ROUND(F464/E464,3))</f>
        <v/>
      </c>
      <c r="H464" s="43">
        <f>IF($J464="","",IF(INDEX(Tarifa!$H$13:$H$512,$J464)="","",INDEX(Tarifa!$H$13:$H$512,$J464)))</f>
        <v/>
      </c>
      <c r="I464" s="41">
        <f>IF(OR($M$3="No",$M$3="",NOT(ISNUMBER(F464))),"",IF(NOT(ISNUMBER(H464)),"Falta IVA",ROUND(F464*(1+(H464+IF($M$3="Con IVA y recargo",IF(H464=21,5.2,IF(H464=10,1.4,IF(H464=4,0.5,0))),0))/100),2)))</f>
        <v/>
      </c>
      <c r="J464">
        <f>IFERROR(MATCH(454,Tarifa!$O$13:$O$512,0),"")</f>
        <v/>
      </c>
    </row>
    <row r="465" ht="17" customHeight="1">
      <c r="A465" s="38">
        <f>IF($J465="","",IFERROR(IF(INDEX(Tarifa!$E$13:$E$512,$J465)&amp;""=INDEX(Tarifa!$E$13:$E$512,$J464)&amp;"","",INDEX(Tarifa!$E$13:$E$512,$J465)&amp;""),""))</f>
        <v/>
      </c>
      <c r="B465" s="39">
        <f>IF($J465="","",INDEX(Tarifa!$A$13:$A$512,$J465)&amp;"")</f>
        <v/>
      </c>
      <c r="C465" s="39">
        <f>IF($J465="","",INDEX(Tarifa!$B$13:$B$512,$J465)&amp;"")</f>
        <v/>
      </c>
      <c r="D465" s="39">
        <f>IF($J465="","",INDEX(Tarifa!$C$13:$C$512,$J465)&amp;"")</f>
        <v/>
      </c>
      <c r="E465" s="40">
        <f>IF($J465="","",IF(INDEX(Tarifa!$D$13:$D$512,$J465)="","",INDEX(Tarifa!$D$13:$D$512,$J465)))</f>
        <v/>
      </c>
      <c r="F465" s="41">
        <f>IF(OR($J465="",$J$1=""),"",IF(INDEX(Tarifa!$G$13:$G$512,$J465)="","",IF(NOT(ISNUMBER(INDEX(Tarifa!$G$13:$G$512,$J465))),"Revisa",IF($J$1=1,INDEX(Tarifa!$G$13:$G$512,$J465),ROUND(ROUND(INDEX(Tarifa!$G$13:$G$512,$J465)*(1+$J$2/100)/$J$3,0)*$J$3,2)))))</f>
        <v/>
      </c>
      <c r="G465" s="42">
        <f>IF(OR(NOT(ISNUMBER(F465)),N(E465)&lt;=1),"",ROUND(F465/E465,3))</f>
        <v/>
      </c>
      <c r="H465" s="43">
        <f>IF($J465="","",IF(INDEX(Tarifa!$H$13:$H$512,$J465)="","",INDEX(Tarifa!$H$13:$H$512,$J465)))</f>
        <v/>
      </c>
      <c r="I465" s="41">
        <f>IF(OR($M$3="No",$M$3="",NOT(ISNUMBER(F465))),"",IF(NOT(ISNUMBER(H465)),"Falta IVA",ROUND(F465*(1+(H465+IF($M$3="Con IVA y recargo",IF(H465=21,5.2,IF(H465=10,1.4,IF(H465=4,0.5,0))),0))/100),2)))</f>
        <v/>
      </c>
      <c r="J465">
        <f>IFERROR(MATCH(455,Tarifa!$O$13:$O$512,0),"")</f>
        <v/>
      </c>
    </row>
    <row r="466" ht="17" customHeight="1">
      <c r="A466" s="38">
        <f>IF($J466="","",IFERROR(IF(INDEX(Tarifa!$E$13:$E$512,$J466)&amp;""=INDEX(Tarifa!$E$13:$E$512,$J465)&amp;"","",INDEX(Tarifa!$E$13:$E$512,$J466)&amp;""),""))</f>
        <v/>
      </c>
      <c r="B466" s="39">
        <f>IF($J466="","",INDEX(Tarifa!$A$13:$A$512,$J466)&amp;"")</f>
        <v/>
      </c>
      <c r="C466" s="39">
        <f>IF($J466="","",INDEX(Tarifa!$B$13:$B$512,$J466)&amp;"")</f>
        <v/>
      </c>
      <c r="D466" s="39">
        <f>IF($J466="","",INDEX(Tarifa!$C$13:$C$512,$J466)&amp;"")</f>
        <v/>
      </c>
      <c r="E466" s="40">
        <f>IF($J466="","",IF(INDEX(Tarifa!$D$13:$D$512,$J466)="","",INDEX(Tarifa!$D$13:$D$512,$J466)))</f>
        <v/>
      </c>
      <c r="F466" s="41">
        <f>IF(OR($J466="",$J$1=""),"",IF(INDEX(Tarifa!$G$13:$G$512,$J466)="","",IF(NOT(ISNUMBER(INDEX(Tarifa!$G$13:$G$512,$J466))),"Revisa",IF($J$1=1,INDEX(Tarifa!$G$13:$G$512,$J466),ROUND(ROUND(INDEX(Tarifa!$G$13:$G$512,$J466)*(1+$J$2/100)/$J$3,0)*$J$3,2)))))</f>
        <v/>
      </c>
      <c r="G466" s="42">
        <f>IF(OR(NOT(ISNUMBER(F466)),N(E466)&lt;=1),"",ROUND(F466/E466,3))</f>
        <v/>
      </c>
      <c r="H466" s="43">
        <f>IF($J466="","",IF(INDEX(Tarifa!$H$13:$H$512,$J466)="","",INDEX(Tarifa!$H$13:$H$512,$J466)))</f>
        <v/>
      </c>
      <c r="I466" s="41">
        <f>IF(OR($M$3="No",$M$3="",NOT(ISNUMBER(F466))),"",IF(NOT(ISNUMBER(H466)),"Falta IVA",ROUND(F466*(1+(H466+IF($M$3="Con IVA y recargo",IF(H466=21,5.2,IF(H466=10,1.4,IF(H466=4,0.5,0))),0))/100),2)))</f>
        <v/>
      </c>
      <c r="J466">
        <f>IFERROR(MATCH(456,Tarifa!$O$13:$O$512,0),"")</f>
        <v/>
      </c>
    </row>
    <row r="467" ht="17" customHeight="1">
      <c r="A467" s="38">
        <f>IF($J467="","",IFERROR(IF(INDEX(Tarifa!$E$13:$E$512,$J467)&amp;""=INDEX(Tarifa!$E$13:$E$512,$J466)&amp;"","",INDEX(Tarifa!$E$13:$E$512,$J467)&amp;""),""))</f>
        <v/>
      </c>
      <c r="B467" s="39">
        <f>IF($J467="","",INDEX(Tarifa!$A$13:$A$512,$J467)&amp;"")</f>
        <v/>
      </c>
      <c r="C467" s="39">
        <f>IF($J467="","",INDEX(Tarifa!$B$13:$B$512,$J467)&amp;"")</f>
        <v/>
      </c>
      <c r="D467" s="39">
        <f>IF($J467="","",INDEX(Tarifa!$C$13:$C$512,$J467)&amp;"")</f>
        <v/>
      </c>
      <c r="E467" s="40">
        <f>IF($J467="","",IF(INDEX(Tarifa!$D$13:$D$512,$J467)="","",INDEX(Tarifa!$D$13:$D$512,$J467)))</f>
        <v/>
      </c>
      <c r="F467" s="41">
        <f>IF(OR($J467="",$J$1=""),"",IF(INDEX(Tarifa!$G$13:$G$512,$J467)="","",IF(NOT(ISNUMBER(INDEX(Tarifa!$G$13:$G$512,$J467))),"Revisa",IF($J$1=1,INDEX(Tarifa!$G$13:$G$512,$J467),ROUND(ROUND(INDEX(Tarifa!$G$13:$G$512,$J467)*(1+$J$2/100)/$J$3,0)*$J$3,2)))))</f>
        <v/>
      </c>
      <c r="G467" s="42">
        <f>IF(OR(NOT(ISNUMBER(F467)),N(E467)&lt;=1),"",ROUND(F467/E467,3))</f>
        <v/>
      </c>
      <c r="H467" s="43">
        <f>IF($J467="","",IF(INDEX(Tarifa!$H$13:$H$512,$J467)="","",INDEX(Tarifa!$H$13:$H$512,$J467)))</f>
        <v/>
      </c>
      <c r="I467" s="41">
        <f>IF(OR($M$3="No",$M$3="",NOT(ISNUMBER(F467))),"",IF(NOT(ISNUMBER(H467)),"Falta IVA",ROUND(F467*(1+(H467+IF($M$3="Con IVA y recargo",IF(H467=21,5.2,IF(H467=10,1.4,IF(H467=4,0.5,0))),0))/100),2)))</f>
        <v/>
      </c>
      <c r="J467">
        <f>IFERROR(MATCH(457,Tarifa!$O$13:$O$512,0),"")</f>
        <v/>
      </c>
    </row>
    <row r="468" ht="17" customHeight="1">
      <c r="A468" s="38">
        <f>IF($J468="","",IFERROR(IF(INDEX(Tarifa!$E$13:$E$512,$J468)&amp;""=INDEX(Tarifa!$E$13:$E$512,$J467)&amp;"","",INDEX(Tarifa!$E$13:$E$512,$J468)&amp;""),""))</f>
        <v/>
      </c>
      <c r="B468" s="39">
        <f>IF($J468="","",INDEX(Tarifa!$A$13:$A$512,$J468)&amp;"")</f>
        <v/>
      </c>
      <c r="C468" s="39">
        <f>IF($J468="","",INDEX(Tarifa!$B$13:$B$512,$J468)&amp;"")</f>
        <v/>
      </c>
      <c r="D468" s="39">
        <f>IF($J468="","",INDEX(Tarifa!$C$13:$C$512,$J468)&amp;"")</f>
        <v/>
      </c>
      <c r="E468" s="40">
        <f>IF($J468="","",IF(INDEX(Tarifa!$D$13:$D$512,$J468)="","",INDEX(Tarifa!$D$13:$D$512,$J468)))</f>
        <v/>
      </c>
      <c r="F468" s="41">
        <f>IF(OR($J468="",$J$1=""),"",IF(INDEX(Tarifa!$G$13:$G$512,$J468)="","",IF(NOT(ISNUMBER(INDEX(Tarifa!$G$13:$G$512,$J468))),"Revisa",IF($J$1=1,INDEX(Tarifa!$G$13:$G$512,$J468),ROUND(ROUND(INDEX(Tarifa!$G$13:$G$512,$J468)*(1+$J$2/100)/$J$3,0)*$J$3,2)))))</f>
        <v/>
      </c>
      <c r="G468" s="42">
        <f>IF(OR(NOT(ISNUMBER(F468)),N(E468)&lt;=1),"",ROUND(F468/E468,3))</f>
        <v/>
      </c>
      <c r="H468" s="43">
        <f>IF($J468="","",IF(INDEX(Tarifa!$H$13:$H$512,$J468)="","",INDEX(Tarifa!$H$13:$H$512,$J468)))</f>
        <v/>
      </c>
      <c r="I468" s="41">
        <f>IF(OR($M$3="No",$M$3="",NOT(ISNUMBER(F468))),"",IF(NOT(ISNUMBER(H468)),"Falta IVA",ROUND(F468*(1+(H468+IF($M$3="Con IVA y recargo",IF(H468=21,5.2,IF(H468=10,1.4,IF(H468=4,0.5,0))),0))/100),2)))</f>
        <v/>
      </c>
      <c r="J468">
        <f>IFERROR(MATCH(458,Tarifa!$O$13:$O$512,0),"")</f>
        <v/>
      </c>
    </row>
    <row r="469" ht="17" customHeight="1">
      <c r="A469" s="38">
        <f>IF($J469="","",IFERROR(IF(INDEX(Tarifa!$E$13:$E$512,$J469)&amp;""=INDEX(Tarifa!$E$13:$E$512,$J468)&amp;"","",INDEX(Tarifa!$E$13:$E$512,$J469)&amp;""),""))</f>
        <v/>
      </c>
      <c r="B469" s="39">
        <f>IF($J469="","",INDEX(Tarifa!$A$13:$A$512,$J469)&amp;"")</f>
        <v/>
      </c>
      <c r="C469" s="39">
        <f>IF($J469="","",INDEX(Tarifa!$B$13:$B$512,$J469)&amp;"")</f>
        <v/>
      </c>
      <c r="D469" s="39">
        <f>IF($J469="","",INDEX(Tarifa!$C$13:$C$512,$J469)&amp;"")</f>
        <v/>
      </c>
      <c r="E469" s="40">
        <f>IF($J469="","",IF(INDEX(Tarifa!$D$13:$D$512,$J469)="","",INDEX(Tarifa!$D$13:$D$512,$J469)))</f>
        <v/>
      </c>
      <c r="F469" s="41">
        <f>IF(OR($J469="",$J$1=""),"",IF(INDEX(Tarifa!$G$13:$G$512,$J469)="","",IF(NOT(ISNUMBER(INDEX(Tarifa!$G$13:$G$512,$J469))),"Revisa",IF($J$1=1,INDEX(Tarifa!$G$13:$G$512,$J469),ROUND(ROUND(INDEX(Tarifa!$G$13:$G$512,$J469)*(1+$J$2/100)/$J$3,0)*$J$3,2)))))</f>
        <v/>
      </c>
      <c r="G469" s="42">
        <f>IF(OR(NOT(ISNUMBER(F469)),N(E469)&lt;=1),"",ROUND(F469/E469,3))</f>
        <v/>
      </c>
      <c r="H469" s="43">
        <f>IF($J469="","",IF(INDEX(Tarifa!$H$13:$H$512,$J469)="","",INDEX(Tarifa!$H$13:$H$512,$J469)))</f>
        <v/>
      </c>
      <c r="I469" s="41">
        <f>IF(OR($M$3="No",$M$3="",NOT(ISNUMBER(F469))),"",IF(NOT(ISNUMBER(H469)),"Falta IVA",ROUND(F469*(1+(H469+IF($M$3="Con IVA y recargo",IF(H469=21,5.2,IF(H469=10,1.4,IF(H469=4,0.5,0))),0))/100),2)))</f>
        <v/>
      </c>
      <c r="J469">
        <f>IFERROR(MATCH(459,Tarifa!$O$13:$O$512,0),"")</f>
        <v/>
      </c>
    </row>
    <row r="470" ht="17" customHeight="1">
      <c r="A470" s="38">
        <f>IF($J470="","",IFERROR(IF(INDEX(Tarifa!$E$13:$E$512,$J470)&amp;""=INDEX(Tarifa!$E$13:$E$512,$J469)&amp;"","",INDEX(Tarifa!$E$13:$E$512,$J470)&amp;""),""))</f>
        <v/>
      </c>
      <c r="B470" s="39">
        <f>IF($J470="","",INDEX(Tarifa!$A$13:$A$512,$J470)&amp;"")</f>
        <v/>
      </c>
      <c r="C470" s="39">
        <f>IF($J470="","",INDEX(Tarifa!$B$13:$B$512,$J470)&amp;"")</f>
        <v/>
      </c>
      <c r="D470" s="39">
        <f>IF($J470="","",INDEX(Tarifa!$C$13:$C$512,$J470)&amp;"")</f>
        <v/>
      </c>
      <c r="E470" s="40">
        <f>IF($J470="","",IF(INDEX(Tarifa!$D$13:$D$512,$J470)="","",INDEX(Tarifa!$D$13:$D$512,$J470)))</f>
        <v/>
      </c>
      <c r="F470" s="41">
        <f>IF(OR($J470="",$J$1=""),"",IF(INDEX(Tarifa!$G$13:$G$512,$J470)="","",IF(NOT(ISNUMBER(INDEX(Tarifa!$G$13:$G$512,$J470))),"Revisa",IF($J$1=1,INDEX(Tarifa!$G$13:$G$512,$J470),ROUND(ROUND(INDEX(Tarifa!$G$13:$G$512,$J470)*(1+$J$2/100)/$J$3,0)*$J$3,2)))))</f>
        <v/>
      </c>
      <c r="G470" s="42">
        <f>IF(OR(NOT(ISNUMBER(F470)),N(E470)&lt;=1),"",ROUND(F470/E470,3))</f>
        <v/>
      </c>
      <c r="H470" s="43">
        <f>IF($J470="","",IF(INDEX(Tarifa!$H$13:$H$512,$J470)="","",INDEX(Tarifa!$H$13:$H$512,$J470)))</f>
        <v/>
      </c>
      <c r="I470" s="41">
        <f>IF(OR($M$3="No",$M$3="",NOT(ISNUMBER(F470))),"",IF(NOT(ISNUMBER(H470)),"Falta IVA",ROUND(F470*(1+(H470+IF($M$3="Con IVA y recargo",IF(H470=21,5.2,IF(H470=10,1.4,IF(H470=4,0.5,0))),0))/100),2)))</f>
        <v/>
      </c>
      <c r="J470">
        <f>IFERROR(MATCH(460,Tarifa!$O$13:$O$512,0),"")</f>
        <v/>
      </c>
    </row>
    <row r="471" ht="17" customHeight="1">
      <c r="A471" s="38">
        <f>IF($J471="","",IFERROR(IF(INDEX(Tarifa!$E$13:$E$512,$J471)&amp;""=INDEX(Tarifa!$E$13:$E$512,$J470)&amp;"","",INDEX(Tarifa!$E$13:$E$512,$J471)&amp;""),""))</f>
        <v/>
      </c>
      <c r="B471" s="39">
        <f>IF($J471="","",INDEX(Tarifa!$A$13:$A$512,$J471)&amp;"")</f>
        <v/>
      </c>
      <c r="C471" s="39">
        <f>IF($J471="","",INDEX(Tarifa!$B$13:$B$512,$J471)&amp;"")</f>
        <v/>
      </c>
      <c r="D471" s="39">
        <f>IF($J471="","",INDEX(Tarifa!$C$13:$C$512,$J471)&amp;"")</f>
        <v/>
      </c>
      <c r="E471" s="40">
        <f>IF($J471="","",IF(INDEX(Tarifa!$D$13:$D$512,$J471)="","",INDEX(Tarifa!$D$13:$D$512,$J471)))</f>
        <v/>
      </c>
      <c r="F471" s="41">
        <f>IF(OR($J471="",$J$1=""),"",IF(INDEX(Tarifa!$G$13:$G$512,$J471)="","",IF(NOT(ISNUMBER(INDEX(Tarifa!$G$13:$G$512,$J471))),"Revisa",IF($J$1=1,INDEX(Tarifa!$G$13:$G$512,$J471),ROUND(ROUND(INDEX(Tarifa!$G$13:$G$512,$J471)*(1+$J$2/100)/$J$3,0)*$J$3,2)))))</f>
        <v/>
      </c>
      <c r="G471" s="42">
        <f>IF(OR(NOT(ISNUMBER(F471)),N(E471)&lt;=1),"",ROUND(F471/E471,3))</f>
        <v/>
      </c>
      <c r="H471" s="43">
        <f>IF($J471="","",IF(INDEX(Tarifa!$H$13:$H$512,$J471)="","",INDEX(Tarifa!$H$13:$H$512,$J471)))</f>
        <v/>
      </c>
      <c r="I471" s="41">
        <f>IF(OR($M$3="No",$M$3="",NOT(ISNUMBER(F471))),"",IF(NOT(ISNUMBER(H471)),"Falta IVA",ROUND(F471*(1+(H471+IF($M$3="Con IVA y recargo",IF(H471=21,5.2,IF(H471=10,1.4,IF(H471=4,0.5,0))),0))/100),2)))</f>
        <v/>
      </c>
      <c r="J471">
        <f>IFERROR(MATCH(461,Tarifa!$O$13:$O$512,0),"")</f>
        <v/>
      </c>
    </row>
    <row r="472" ht="17" customHeight="1">
      <c r="A472" s="38">
        <f>IF($J472="","",IFERROR(IF(INDEX(Tarifa!$E$13:$E$512,$J472)&amp;""=INDEX(Tarifa!$E$13:$E$512,$J471)&amp;"","",INDEX(Tarifa!$E$13:$E$512,$J472)&amp;""),""))</f>
        <v/>
      </c>
      <c r="B472" s="39">
        <f>IF($J472="","",INDEX(Tarifa!$A$13:$A$512,$J472)&amp;"")</f>
        <v/>
      </c>
      <c r="C472" s="39">
        <f>IF($J472="","",INDEX(Tarifa!$B$13:$B$512,$J472)&amp;"")</f>
        <v/>
      </c>
      <c r="D472" s="39">
        <f>IF($J472="","",INDEX(Tarifa!$C$13:$C$512,$J472)&amp;"")</f>
        <v/>
      </c>
      <c r="E472" s="40">
        <f>IF($J472="","",IF(INDEX(Tarifa!$D$13:$D$512,$J472)="","",INDEX(Tarifa!$D$13:$D$512,$J472)))</f>
        <v/>
      </c>
      <c r="F472" s="41">
        <f>IF(OR($J472="",$J$1=""),"",IF(INDEX(Tarifa!$G$13:$G$512,$J472)="","",IF(NOT(ISNUMBER(INDEX(Tarifa!$G$13:$G$512,$J472))),"Revisa",IF($J$1=1,INDEX(Tarifa!$G$13:$G$512,$J472),ROUND(ROUND(INDEX(Tarifa!$G$13:$G$512,$J472)*(1+$J$2/100)/$J$3,0)*$J$3,2)))))</f>
        <v/>
      </c>
      <c r="G472" s="42">
        <f>IF(OR(NOT(ISNUMBER(F472)),N(E472)&lt;=1),"",ROUND(F472/E472,3))</f>
        <v/>
      </c>
      <c r="H472" s="43">
        <f>IF($J472="","",IF(INDEX(Tarifa!$H$13:$H$512,$J472)="","",INDEX(Tarifa!$H$13:$H$512,$J472)))</f>
        <v/>
      </c>
      <c r="I472" s="41">
        <f>IF(OR($M$3="No",$M$3="",NOT(ISNUMBER(F472))),"",IF(NOT(ISNUMBER(H472)),"Falta IVA",ROUND(F472*(1+(H472+IF($M$3="Con IVA y recargo",IF(H472=21,5.2,IF(H472=10,1.4,IF(H472=4,0.5,0))),0))/100),2)))</f>
        <v/>
      </c>
      <c r="J472">
        <f>IFERROR(MATCH(462,Tarifa!$O$13:$O$512,0),"")</f>
        <v/>
      </c>
    </row>
    <row r="473" ht="17" customHeight="1">
      <c r="A473" s="38">
        <f>IF($J473="","",IFERROR(IF(INDEX(Tarifa!$E$13:$E$512,$J473)&amp;""=INDEX(Tarifa!$E$13:$E$512,$J472)&amp;"","",INDEX(Tarifa!$E$13:$E$512,$J473)&amp;""),""))</f>
        <v/>
      </c>
      <c r="B473" s="39">
        <f>IF($J473="","",INDEX(Tarifa!$A$13:$A$512,$J473)&amp;"")</f>
        <v/>
      </c>
      <c r="C473" s="39">
        <f>IF($J473="","",INDEX(Tarifa!$B$13:$B$512,$J473)&amp;"")</f>
        <v/>
      </c>
      <c r="D473" s="39">
        <f>IF($J473="","",INDEX(Tarifa!$C$13:$C$512,$J473)&amp;"")</f>
        <v/>
      </c>
      <c r="E473" s="40">
        <f>IF($J473="","",IF(INDEX(Tarifa!$D$13:$D$512,$J473)="","",INDEX(Tarifa!$D$13:$D$512,$J473)))</f>
        <v/>
      </c>
      <c r="F473" s="41">
        <f>IF(OR($J473="",$J$1=""),"",IF(INDEX(Tarifa!$G$13:$G$512,$J473)="","",IF(NOT(ISNUMBER(INDEX(Tarifa!$G$13:$G$512,$J473))),"Revisa",IF($J$1=1,INDEX(Tarifa!$G$13:$G$512,$J473),ROUND(ROUND(INDEX(Tarifa!$G$13:$G$512,$J473)*(1+$J$2/100)/$J$3,0)*$J$3,2)))))</f>
        <v/>
      </c>
      <c r="G473" s="42">
        <f>IF(OR(NOT(ISNUMBER(F473)),N(E473)&lt;=1),"",ROUND(F473/E473,3))</f>
        <v/>
      </c>
      <c r="H473" s="43">
        <f>IF($J473="","",IF(INDEX(Tarifa!$H$13:$H$512,$J473)="","",INDEX(Tarifa!$H$13:$H$512,$J473)))</f>
        <v/>
      </c>
      <c r="I473" s="41">
        <f>IF(OR($M$3="No",$M$3="",NOT(ISNUMBER(F473))),"",IF(NOT(ISNUMBER(H473)),"Falta IVA",ROUND(F473*(1+(H473+IF($M$3="Con IVA y recargo",IF(H473=21,5.2,IF(H473=10,1.4,IF(H473=4,0.5,0))),0))/100),2)))</f>
        <v/>
      </c>
      <c r="J473">
        <f>IFERROR(MATCH(463,Tarifa!$O$13:$O$512,0),"")</f>
        <v/>
      </c>
    </row>
    <row r="474" ht="17" customHeight="1">
      <c r="A474" s="38">
        <f>IF($J474="","",IFERROR(IF(INDEX(Tarifa!$E$13:$E$512,$J474)&amp;""=INDEX(Tarifa!$E$13:$E$512,$J473)&amp;"","",INDEX(Tarifa!$E$13:$E$512,$J474)&amp;""),""))</f>
        <v/>
      </c>
      <c r="B474" s="39">
        <f>IF($J474="","",INDEX(Tarifa!$A$13:$A$512,$J474)&amp;"")</f>
        <v/>
      </c>
      <c r="C474" s="39">
        <f>IF($J474="","",INDEX(Tarifa!$B$13:$B$512,$J474)&amp;"")</f>
        <v/>
      </c>
      <c r="D474" s="39">
        <f>IF($J474="","",INDEX(Tarifa!$C$13:$C$512,$J474)&amp;"")</f>
        <v/>
      </c>
      <c r="E474" s="40">
        <f>IF($J474="","",IF(INDEX(Tarifa!$D$13:$D$512,$J474)="","",INDEX(Tarifa!$D$13:$D$512,$J474)))</f>
        <v/>
      </c>
      <c r="F474" s="41">
        <f>IF(OR($J474="",$J$1=""),"",IF(INDEX(Tarifa!$G$13:$G$512,$J474)="","",IF(NOT(ISNUMBER(INDEX(Tarifa!$G$13:$G$512,$J474))),"Revisa",IF($J$1=1,INDEX(Tarifa!$G$13:$G$512,$J474),ROUND(ROUND(INDEX(Tarifa!$G$13:$G$512,$J474)*(1+$J$2/100)/$J$3,0)*$J$3,2)))))</f>
        <v/>
      </c>
      <c r="G474" s="42">
        <f>IF(OR(NOT(ISNUMBER(F474)),N(E474)&lt;=1),"",ROUND(F474/E474,3))</f>
        <v/>
      </c>
      <c r="H474" s="43">
        <f>IF($J474="","",IF(INDEX(Tarifa!$H$13:$H$512,$J474)="","",INDEX(Tarifa!$H$13:$H$512,$J474)))</f>
        <v/>
      </c>
      <c r="I474" s="41">
        <f>IF(OR($M$3="No",$M$3="",NOT(ISNUMBER(F474))),"",IF(NOT(ISNUMBER(H474)),"Falta IVA",ROUND(F474*(1+(H474+IF($M$3="Con IVA y recargo",IF(H474=21,5.2,IF(H474=10,1.4,IF(H474=4,0.5,0))),0))/100),2)))</f>
        <v/>
      </c>
      <c r="J474">
        <f>IFERROR(MATCH(464,Tarifa!$O$13:$O$512,0),"")</f>
        <v/>
      </c>
    </row>
    <row r="475" ht="17" customHeight="1">
      <c r="A475" s="38">
        <f>IF($J475="","",IFERROR(IF(INDEX(Tarifa!$E$13:$E$512,$J475)&amp;""=INDEX(Tarifa!$E$13:$E$512,$J474)&amp;"","",INDEX(Tarifa!$E$13:$E$512,$J475)&amp;""),""))</f>
        <v/>
      </c>
      <c r="B475" s="39">
        <f>IF($J475="","",INDEX(Tarifa!$A$13:$A$512,$J475)&amp;"")</f>
        <v/>
      </c>
      <c r="C475" s="39">
        <f>IF($J475="","",INDEX(Tarifa!$B$13:$B$512,$J475)&amp;"")</f>
        <v/>
      </c>
      <c r="D475" s="39">
        <f>IF($J475="","",INDEX(Tarifa!$C$13:$C$512,$J475)&amp;"")</f>
        <v/>
      </c>
      <c r="E475" s="40">
        <f>IF($J475="","",IF(INDEX(Tarifa!$D$13:$D$512,$J475)="","",INDEX(Tarifa!$D$13:$D$512,$J475)))</f>
        <v/>
      </c>
      <c r="F475" s="41">
        <f>IF(OR($J475="",$J$1=""),"",IF(INDEX(Tarifa!$G$13:$G$512,$J475)="","",IF(NOT(ISNUMBER(INDEX(Tarifa!$G$13:$G$512,$J475))),"Revisa",IF($J$1=1,INDEX(Tarifa!$G$13:$G$512,$J475),ROUND(ROUND(INDEX(Tarifa!$G$13:$G$512,$J475)*(1+$J$2/100)/$J$3,0)*$J$3,2)))))</f>
        <v/>
      </c>
      <c r="G475" s="42">
        <f>IF(OR(NOT(ISNUMBER(F475)),N(E475)&lt;=1),"",ROUND(F475/E475,3))</f>
        <v/>
      </c>
      <c r="H475" s="43">
        <f>IF($J475="","",IF(INDEX(Tarifa!$H$13:$H$512,$J475)="","",INDEX(Tarifa!$H$13:$H$512,$J475)))</f>
        <v/>
      </c>
      <c r="I475" s="41">
        <f>IF(OR($M$3="No",$M$3="",NOT(ISNUMBER(F475))),"",IF(NOT(ISNUMBER(H475)),"Falta IVA",ROUND(F475*(1+(H475+IF($M$3="Con IVA y recargo",IF(H475=21,5.2,IF(H475=10,1.4,IF(H475=4,0.5,0))),0))/100),2)))</f>
        <v/>
      </c>
      <c r="J475">
        <f>IFERROR(MATCH(465,Tarifa!$O$13:$O$512,0),"")</f>
        <v/>
      </c>
    </row>
    <row r="476" ht="17" customHeight="1">
      <c r="A476" s="38">
        <f>IF($J476="","",IFERROR(IF(INDEX(Tarifa!$E$13:$E$512,$J476)&amp;""=INDEX(Tarifa!$E$13:$E$512,$J475)&amp;"","",INDEX(Tarifa!$E$13:$E$512,$J476)&amp;""),""))</f>
        <v/>
      </c>
      <c r="B476" s="39">
        <f>IF($J476="","",INDEX(Tarifa!$A$13:$A$512,$J476)&amp;"")</f>
        <v/>
      </c>
      <c r="C476" s="39">
        <f>IF($J476="","",INDEX(Tarifa!$B$13:$B$512,$J476)&amp;"")</f>
        <v/>
      </c>
      <c r="D476" s="39">
        <f>IF($J476="","",INDEX(Tarifa!$C$13:$C$512,$J476)&amp;"")</f>
        <v/>
      </c>
      <c r="E476" s="40">
        <f>IF($J476="","",IF(INDEX(Tarifa!$D$13:$D$512,$J476)="","",INDEX(Tarifa!$D$13:$D$512,$J476)))</f>
        <v/>
      </c>
      <c r="F476" s="41">
        <f>IF(OR($J476="",$J$1=""),"",IF(INDEX(Tarifa!$G$13:$G$512,$J476)="","",IF(NOT(ISNUMBER(INDEX(Tarifa!$G$13:$G$512,$J476))),"Revisa",IF($J$1=1,INDEX(Tarifa!$G$13:$G$512,$J476),ROUND(ROUND(INDEX(Tarifa!$G$13:$G$512,$J476)*(1+$J$2/100)/$J$3,0)*$J$3,2)))))</f>
        <v/>
      </c>
      <c r="G476" s="42">
        <f>IF(OR(NOT(ISNUMBER(F476)),N(E476)&lt;=1),"",ROUND(F476/E476,3))</f>
        <v/>
      </c>
      <c r="H476" s="43">
        <f>IF($J476="","",IF(INDEX(Tarifa!$H$13:$H$512,$J476)="","",INDEX(Tarifa!$H$13:$H$512,$J476)))</f>
        <v/>
      </c>
      <c r="I476" s="41">
        <f>IF(OR($M$3="No",$M$3="",NOT(ISNUMBER(F476))),"",IF(NOT(ISNUMBER(H476)),"Falta IVA",ROUND(F476*(1+(H476+IF($M$3="Con IVA y recargo",IF(H476=21,5.2,IF(H476=10,1.4,IF(H476=4,0.5,0))),0))/100),2)))</f>
        <v/>
      </c>
      <c r="J476">
        <f>IFERROR(MATCH(466,Tarifa!$O$13:$O$512,0),"")</f>
        <v/>
      </c>
    </row>
    <row r="477" ht="17" customHeight="1">
      <c r="A477" s="38">
        <f>IF($J477="","",IFERROR(IF(INDEX(Tarifa!$E$13:$E$512,$J477)&amp;""=INDEX(Tarifa!$E$13:$E$512,$J476)&amp;"","",INDEX(Tarifa!$E$13:$E$512,$J477)&amp;""),""))</f>
        <v/>
      </c>
      <c r="B477" s="39">
        <f>IF($J477="","",INDEX(Tarifa!$A$13:$A$512,$J477)&amp;"")</f>
        <v/>
      </c>
      <c r="C477" s="39">
        <f>IF($J477="","",INDEX(Tarifa!$B$13:$B$512,$J477)&amp;"")</f>
        <v/>
      </c>
      <c r="D477" s="39">
        <f>IF($J477="","",INDEX(Tarifa!$C$13:$C$512,$J477)&amp;"")</f>
        <v/>
      </c>
      <c r="E477" s="40">
        <f>IF($J477="","",IF(INDEX(Tarifa!$D$13:$D$512,$J477)="","",INDEX(Tarifa!$D$13:$D$512,$J477)))</f>
        <v/>
      </c>
      <c r="F477" s="41">
        <f>IF(OR($J477="",$J$1=""),"",IF(INDEX(Tarifa!$G$13:$G$512,$J477)="","",IF(NOT(ISNUMBER(INDEX(Tarifa!$G$13:$G$512,$J477))),"Revisa",IF($J$1=1,INDEX(Tarifa!$G$13:$G$512,$J477),ROUND(ROUND(INDEX(Tarifa!$G$13:$G$512,$J477)*(1+$J$2/100)/$J$3,0)*$J$3,2)))))</f>
        <v/>
      </c>
      <c r="G477" s="42">
        <f>IF(OR(NOT(ISNUMBER(F477)),N(E477)&lt;=1),"",ROUND(F477/E477,3))</f>
        <v/>
      </c>
      <c r="H477" s="43">
        <f>IF($J477="","",IF(INDEX(Tarifa!$H$13:$H$512,$J477)="","",INDEX(Tarifa!$H$13:$H$512,$J477)))</f>
        <v/>
      </c>
      <c r="I477" s="41">
        <f>IF(OR($M$3="No",$M$3="",NOT(ISNUMBER(F477))),"",IF(NOT(ISNUMBER(H477)),"Falta IVA",ROUND(F477*(1+(H477+IF($M$3="Con IVA y recargo",IF(H477=21,5.2,IF(H477=10,1.4,IF(H477=4,0.5,0))),0))/100),2)))</f>
        <v/>
      </c>
      <c r="J477">
        <f>IFERROR(MATCH(467,Tarifa!$O$13:$O$512,0),"")</f>
        <v/>
      </c>
    </row>
    <row r="478" ht="17" customHeight="1">
      <c r="A478" s="38">
        <f>IF($J478="","",IFERROR(IF(INDEX(Tarifa!$E$13:$E$512,$J478)&amp;""=INDEX(Tarifa!$E$13:$E$512,$J477)&amp;"","",INDEX(Tarifa!$E$13:$E$512,$J478)&amp;""),""))</f>
        <v/>
      </c>
      <c r="B478" s="39">
        <f>IF($J478="","",INDEX(Tarifa!$A$13:$A$512,$J478)&amp;"")</f>
        <v/>
      </c>
      <c r="C478" s="39">
        <f>IF($J478="","",INDEX(Tarifa!$B$13:$B$512,$J478)&amp;"")</f>
        <v/>
      </c>
      <c r="D478" s="39">
        <f>IF($J478="","",INDEX(Tarifa!$C$13:$C$512,$J478)&amp;"")</f>
        <v/>
      </c>
      <c r="E478" s="40">
        <f>IF($J478="","",IF(INDEX(Tarifa!$D$13:$D$512,$J478)="","",INDEX(Tarifa!$D$13:$D$512,$J478)))</f>
        <v/>
      </c>
      <c r="F478" s="41">
        <f>IF(OR($J478="",$J$1=""),"",IF(INDEX(Tarifa!$G$13:$G$512,$J478)="","",IF(NOT(ISNUMBER(INDEX(Tarifa!$G$13:$G$512,$J478))),"Revisa",IF($J$1=1,INDEX(Tarifa!$G$13:$G$512,$J478),ROUND(ROUND(INDEX(Tarifa!$G$13:$G$512,$J478)*(1+$J$2/100)/$J$3,0)*$J$3,2)))))</f>
        <v/>
      </c>
      <c r="G478" s="42">
        <f>IF(OR(NOT(ISNUMBER(F478)),N(E478)&lt;=1),"",ROUND(F478/E478,3))</f>
        <v/>
      </c>
      <c r="H478" s="43">
        <f>IF($J478="","",IF(INDEX(Tarifa!$H$13:$H$512,$J478)="","",INDEX(Tarifa!$H$13:$H$512,$J478)))</f>
        <v/>
      </c>
      <c r="I478" s="41">
        <f>IF(OR($M$3="No",$M$3="",NOT(ISNUMBER(F478))),"",IF(NOT(ISNUMBER(H478)),"Falta IVA",ROUND(F478*(1+(H478+IF($M$3="Con IVA y recargo",IF(H478=21,5.2,IF(H478=10,1.4,IF(H478=4,0.5,0))),0))/100),2)))</f>
        <v/>
      </c>
      <c r="J478">
        <f>IFERROR(MATCH(468,Tarifa!$O$13:$O$512,0),"")</f>
        <v/>
      </c>
    </row>
    <row r="479" ht="17" customHeight="1">
      <c r="A479" s="38">
        <f>IF($J479="","",IFERROR(IF(INDEX(Tarifa!$E$13:$E$512,$J479)&amp;""=INDEX(Tarifa!$E$13:$E$512,$J478)&amp;"","",INDEX(Tarifa!$E$13:$E$512,$J479)&amp;""),""))</f>
        <v/>
      </c>
      <c r="B479" s="39">
        <f>IF($J479="","",INDEX(Tarifa!$A$13:$A$512,$J479)&amp;"")</f>
        <v/>
      </c>
      <c r="C479" s="39">
        <f>IF($J479="","",INDEX(Tarifa!$B$13:$B$512,$J479)&amp;"")</f>
        <v/>
      </c>
      <c r="D479" s="39">
        <f>IF($J479="","",INDEX(Tarifa!$C$13:$C$512,$J479)&amp;"")</f>
        <v/>
      </c>
      <c r="E479" s="40">
        <f>IF($J479="","",IF(INDEX(Tarifa!$D$13:$D$512,$J479)="","",INDEX(Tarifa!$D$13:$D$512,$J479)))</f>
        <v/>
      </c>
      <c r="F479" s="41">
        <f>IF(OR($J479="",$J$1=""),"",IF(INDEX(Tarifa!$G$13:$G$512,$J479)="","",IF(NOT(ISNUMBER(INDEX(Tarifa!$G$13:$G$512,$J479))),"Revisa",IF($J$1=1,INDEX(Tarifa!$G$13:$G$512,$J479),ROUND(ROUND(INDEX(Tarifa!$G$13:$G$512,$J479)*(1+$J$2/100)/$J$3,0)*$J$3,2)))))</f>
        <v/>
      </c>
      <c r="G479" s="42">
        <f>IF(OR(NOT(ISNUMBER(F479)),N(E479)&lt;=1),"",ROUND(F479/E479,3))</f>
        <v/>
      </c>
      <c r="H479" s="43">
        <f>IF($J479="","",IF(INDEX(Tarifa!$H$13:$H$512,$J479)="","",INDEX(Tarifa!$H$13:$H$512,$J479)))</f>
        <v/>
      </c>
      <c r="I479" s="41">
        <f>IF(OR($M$3="No",$M$3="",NOT(ISNUMBER(F479))),"",IF(NOT(ISNUMBER(H479)),"Falta IVA",ROUND(F479*(1+(H479+IF($M$3="Con IVA y recargo",IF(H479=21,5.2,IF(H479=10,1.4,IF(H479=4,0.5,0))),0))/100),2)))</f>
        <v/>
      </c>
      <c r="J479">
        <f>IFERROR(MATCH(469,Tarifa!$O$13:$O$512,0),"")</f>
        <v/>
      </c>
    </row>
    <row r="480" ht="17" customHeight="1">
      <c r="A480" s="38">
        <f>IF($J480="","",IFERROR(IF(INDEX(Tarifa!$E$13:$E$512,$J480)&amp;""=INDEX(Tarifa!$E$13:$E$512,$J479)&amp;"","",INDEX(Tarifa!$E$13:$E$512,$J480)&amp;""),""))</f>
        <v/>
      </c>
      <c r="B480" s="39">
        <f>IF($J480="","",INDEX(Tarifa!$A$13:$A$512,$J480)&amp;"")</f>
        <v/>
      </c>
      <c r="C480" s="39">
        <f>IF($J480="","",INDEX(Tarifa!$B$13:$B$512,$J480)&amp;"")</f>
        <v/>
      </c>
      <c r="D480" s="39">
        <f>IF($J480="","",INDEX(Tarifa!$C$13:$C$512,$J480)&amp;"")</f>
        <v/>
      </c>
      <c r="E480" s="40">
        <f>IF($J480="","",IF(INDEX(Tarifa!$D$13:$D$512,$J480)="","",INDEX(Tarifa!$D$13:$D$512,$J480)))</f>
        <v/>
      </c>
      <c r="F480" s="41">
        <f>IF(OR($J480="",$J$1=""),"",IF(INDEX(Tarifa!$G$13:$G$512,$J480)="","",IF(NOT(ISNUMBER(INDEX(Tarifa!$G$13:$G$512,$J480))),"Revisa",IF($J$1=1,INDEX(Tarifa!$G$13:$G$512,$J480),ROUND(ROUND(INDEX(Tarifa!$G$13:$G$512,$J480)*(1+$J$2/100)/$J$3,0)*$J$3,2)))))</f>
        <v/>
      </c>
      <c r="G480" s="42">
        <f>IF(OR(NOT(ISNUMBER(F480)),N(E480)&lt;=1),"",ROUND(F480/E480,3))</f>
        <v/>
      </c>
      <c r="H480" s="43">
        <f>IF($J480="","",IF(INDEX(Tarifa!$H$13:$H$512,$J480)="","",INDEX(Tarifa!$H$13:$H$512,$J480)))</f>
        <v/>
      </c>
      <c r="I480" s="41">
        <f>IF(OR($M$3="No",$M$3="",NOT(ISNUMBER(F480))),"",IF(NOT(ISNUMBER(H480)),"Falta IVA",ROUND(F480*(1+(H480+IF($M$3="Con IVA y recargo",IF(H480=21,5.2,IF(H480=10,1.4,IF(H480=4,0.5,0))),0))/100),2)))</f>
        <v/>
      </c>
      <c r="J480">
        <f>IFERROR(MATCH(470,Tarifa!$O$13:$O$512,0),"")</f>
        <v/>
      </c>
    </row>
    <row r="481" ht="17" customHeight="1">
      <c r="A481" s="38">
        <f>IF($J481="","",IFERROR(IF(INDEX(Tarifa!$E$13:$E$512,$J481)&amp;""=INDEX(Tarifa!$E$13:$E$512,$J480)&amp;"","",INDEX(Tarifa!$E$13:$E$512,$J481)&amp;""),""))</f>
        <v/>
      </c>
      <c r="B481" s="39">
        <f>IF($J481="","",INDEX(Tarifa!$A$13:$A$512,$J481)&amp;"")</f>
        <v/>
      </c>
      <c r="C481" s="39">
        <f>IF($J481="","",INDEX(Tarifa!$B$13:$B$512,$J481)&amp;"")</f>
        <v/>
      </c>
      <c r="D481" s="39">
        <f>IF($J481="","",INDEX(Tarifa!$C$13:$C$512,$J481)&amp;"")</f>
        <v/>
      </c>
      <c r="E481" s="40">
        <f>IF($J481="","",IF(INDEX(Tarifa!$D$13:$D$512,$J481)="","",INDEX(Tarifa!$D$13:$D$512,$J481)))</f>
        <v/>
      </c>
      <c r="F481" s="41">
        <f>IF(OR($J481="",$J$1=""),"",IF(INDEX(Tarifa!$G$13:$G$512,$J481)="","",IF(NOT(ISNUMBER(INDEX(Tarifa!$G$13:$G$512,$J481))),"Revisa",IF($J$1=1,INDEX(Tarifa!$G$13:$G$512,$J481),ROUND(ROUND(INDEX(Tarifa!$G$13:$G$512,$J481)*(1+$J$2/100)/$J$3,0)*$J$3,2)))))</f>
        <v/>
      </c>
      <c r="G481" s="42">
        <f>IF(OR(NOT(ISNUMBER(F481)),N(E481)&lt;=1),"",ROUND(F481/E481,3))</f>
        <v/>
      </c>
      <c r="H481" s="43">
        <f>IF($J481="","",IF(INDEX(Tarifa!$H$13:$H$512,$J481)="","",INDEX(Tarifa!$H$13:$H$512,$J481)))</f>
        <v/>
      </c>
      <c r="I481" s="41">
        <f>IF(OR($M$3="No",$M$3="",NOT(ISNUMBER(F481))),"",IF(NOT(ISNUMBER(H481)),"Falta IVA",ROUND(F481*(1+(H481+IF($M$3="Con IVA y recargo",IF(H481=21,5.2,IF(H481=10,1.4,IF(H481=4,0.5,0))),0))/100),2)))</f>
        <v/>
      </c>
      <c r="J481">
        <f>IFERROR(MATCH(471,Tarifa!$O$13:$O$512,0),"")</f>
        <v/>
      </c>
    </row>
    <row r="482" ht="17" customHeight="1">
      <c r="A482" s="38">
        <f>IF($J482="","",IFERROR(IF(INDEX(Tarifa!$E$13:$E$512,$J482)&amp;""=INDEX(Tarifa!$E$13:$E$512,$J481)&amp;"","",INDEX(Tarifa!$E$13:$E$512,$J482)&amp;""),""))</f>
        <v/>
      </c>
      <c r="B482" s="39">
        <f>IF($J482="","",INDEX(Tarifa!$A$13:$A$512,$J482)&amp;"")</f>
        <v/>
      </c>
      <c r="C482" s="39">
        <f>IF($J482="","",INDEX(Tarifa!$B$13:$B$512,$J482)&amp;"")</f>
        <v/>
      </c>
      <c r="D482" s="39">
        <f>IF($J482="","",INDEX(Tarifa!$C$13:$C$512,$J482)&amp;"")</f>
        <v/>
      </c>
      <c r="E482" s="40">
        <f>IF($J482="","",IF(INDEX(Tarifa!$D$13:$D$512,$J482)="","",INDEX(Tarifa!$D$13:$D$512,$J482)))</f>
        <v/>
      </c>
      <c r="F482" s="41">
        <f>IF(OR($J482="",$J$1=""),"",IF(INDEX(Tarifa!$G$13:$G$512,$J482)="","",IF(NOT(ISNUMBER(INDEX(Tarifa!$G$13:$G$512,$J482))),"Revisa",IF($J$1=1,INDEX(Tarifa!$G$13:$G$512,$J482),ROUND(ROUND(INDEX(Tarifa!$G$13:$G$512,$J482)*(1+$J$2/100)/$J$3,0)*$J$3,2)))))</f>
        <v/>
      </c>
      <c r="G482" s="42">
        <f>IF(OR(NOT(ISNUMBER(F482)),N(E482)&lt;=1),"",ROUND(F482/E482,3))</f>
        <v/>
      </c>
      <c r="H482" s="43">
        <f>IF($J482="","",IF(INDEX(Tarifa!$H$13:$H$512,$J482)="","",INDEX(Tarifa!$H$13:$H$512,$J482)))</f>
        <v/>
      </c>
      <c r="I482" s="41">
        <f>IF(OR($M$3="No",$M$3="",NOT(ISNUMBER(F482))),"",IF(NOT(ISNUMBER(H482)),"Falta IVA",ROUND(F482*(1+(H482+IF($M$3="Con IVA y recargo",IF(H482=21,5.2,IF(H482=10,1.4,IF(H482=4,0.5,0))),0))/100),2)))</f>
        <v/>
      </c>
      <c r="J482">
        <f>IFERROR(MATCH(472,Tarifa!$O$13:$O$512,0),"")</f>
        <v/>
      </c>
    </row>
    <row r="483" ht="17" customHeight="1">
      <c r="A483" s="38">
        <f>IF($J483="","",IFERROR(IF(INDEX(Tarifa!$E$13:$E$512,$J483)&amp;""=INDEX(Tarifa!$E$13:$E$512,$J482)&amp;"","",INDEX(Tarifa!$E$13:$E$512,$J483)&amp;""),""))</f>
        <v/>
      </c>
      <c r="B483" s="39">
        <f>IF($J483="","",INDEX(Tarifa!$A$13:$A$512,$J483)&amp;"")</f>
        <v/>
      </c>
      <c r="C483" s="39">
        <f>IF($J483="","",INDEX(Tarifa!$B$13:$B$512,$J483)&amp;"")</f>
        <v/>
      </c>
      <c r="D483" s="39">
        <f>IF($J483="","",INDEX(Tarifa!$C$13:$C$512,$J483)&amp;"")</f>
        <v/>
      </c>
      <c r="E483" s="40">
        <f>IF($J483="","",IF(INDEX(Tarifa!$D$13:$D$512,$J483)="","",INDEX(Tarifa!$D$13:$D$512,$J483)))</f>
        <v/>
      </c>
      <c r="F483" s="41">
        <f>IF(OR($J483="",$J$1=""),"",IF(INDEX(Tarifa!$G$13:$G$512,$J483)="","",IF(NOT(ISNUMBER(INDEX(Tarifa!$G$13:$G$512,$J483))),"Revisa",IF($J$1=1,INDEX(Tarifa!$G$13:$G$512,$J483),ROUND(ROUND(INDEX(Tarifa!$G$13:$G$512,$J483)*(1+$J$2/100)/$J$3,0)*$J$3,2)))))</f>
        <v/>
      </c>
      <c r="G483" s="42">
        <f>IF(OR(NOT(ISNUMBER(F483)),N(E483)&lt;=1),"",ROUND(F483/E483,3))</f>
        <v/>
      </c>
      <c r="H483" s="43">
        <f>IF($J483="","",IF(INDEX(Tarifa!$H$13:$H$512,$J483)="","",INDEX(Tarifa!$H$13:$H$512,$J483)))</f>
        <v/>
      </c>
      <c r="I483" s="41">
        <f>IF(OR($M$3="No",$M$3="",NOT(ISNUMBER(F483))),"",IF(NOT(ISNUMBER(H483)),"Falta IVA",ROUND(F483*(1+(H483+IF($M$3="Con IVA y recargo",IF(H483=21,5.2,IF(H483=10,1.4,IF(H483=4,0.5,0))),0))/100),2)))</f>
        <v/>
      </c>
      <c r="J483">
        <f>IFERROR(MATCH(473,Tarifa!$O$13:$O$512,0),"")</f>
        <v/>
      </c>
    </row>
    <row r="484" ht="17" customHeight="1">
      <c r="A484" s="38">
        <f>IF($J484="","",IFERROR(IF(INDEX(Tarifa!$E$13:$E$512,$J484)&amp;""=INDEX(Tarifa!$E$13:$E$512,$J483)&amp;"","",INDEX(Tarifa!$E$13:$E$512,$J484)&amp;""),""))</f>
        <v/>
      </c>
      <c r="B484" s="39">
        <f>IF($J484="","",INDEX(Tarifa!$A$13:$A$512,$J484)&amp;"")</f>
        <v/>
      </c>
      <c r="C484" s="39">
        <f>IF($J484="","",INDEX(Tarifa!$B$13:$B$512,$J484)&amp;"")</f>
        <v/>
      </c>
      <c r="D484" s="39">
        <f>IF($J484="","",INDEX(Tarifa!$C$13:$C$512,$J484)&amp;"")</f>
        <v/>
      </c>
      <c r="E484" s="40">
        <f>IF($J484="","",IF(INDEX(Tarifa!$D$13:$D$512,$J484)="","",INDEX(Tarifa!$D$13:$D$512,$J484)))</f>
        <v/>
      </c>
      <c r="F484" s="41">
        <f>IF(OR($J484="",$J$1=""),"",IF(INDEX(Tarifa!$G$13:$G$512,$J484)="","",IF(NOT(ISNUMBER(INDEX(Tarifa!$G$13:$G$512,$J484))),"Revisa",IF($J$1=1,INDEX(Tarifa!$G$13:$G$512,$J484),ROUND(ROUND(INDEX(Tarifa!$G$13:$G$512,$J484)*(1+$J$2/100)/$J$3,0)*$J$3,2)))))</f>
        <v/>
      </c>
      <c r="G484" s="42">
        <f>IF(OR(NOT(ISNUMBER(F484)),N(E484)&lt;=1),"",ROUND(F484/E484,3))</f>
        <v/>
      </c>
      <c r="H484" s="43">
        <f>IF($J484="","",IF(INDEX(Tarifa!$H$13:$H$512,$J484)="","",INDEX(Tarifa!$H$13:$H$512,$J484)))</f>
        <v/>
      </c>
      <c r="I484" s="41">
        <f>IF(OR($M$3="No",$M$3="",NOT(ISNUMBER(F484))),"",IF(NOT(ISNUMBER(H484)),"Falta IVA",ROUND(F484*(1+(H484+IF($M$3="Con IVA y recargo",IF(H484=21,5.2,IF(H484=10,1.4,IF(H484=4,0.5,0))),0))/100),2)))</f>
        <v/>
      </c>
      <c r="J484">
        <f>IFERROR(MATCH(474,Tarifa!$O$13:$O$512,0),"")</f>
        <v/>
      </c>
    </row>
    <row r="485" ht="17" customHeight="1">
      <c r="A485" s="38">
        <f>IF($J485="","",IFERROR(IF(INDEX(Tarifa!$E$13:$E$512,$J485)&amp;""=INDEX(Tarifa!$E$13:$E$512,$J484)&amp;"","",INDEX(Tarifa!$E$13:$E$512,$J485)&amp;""),""))</f>
        <v/>
      </c>
      <c r="B485" s="39">
        <f>IF($J485="","",INDEX(Tarifa!$A$13:$A$512,$J485)&amp;"")</f>
        <v/>
      </c>
      <c r="C485" s="39">
        <f>IF($J485="","",INDEX(Tarifa!$B$13:$B$512,$J485)&amp;"")</f>
        <v/>
      </c>
      <c r="D485" s="39">
        <f>IF($J485="","",INDEX(Tarifa!$C$13:$C$512,$J485)&amp;"")</f>
        <v/>
      </c>
      <c r="E485" s="40">
        <f>IF($J485="","",IF(INDEX(Tarifa!$D$13:$D$512,$J485)="","",INDEX(Tarifa!$D$13:$D$512,$J485)))</f>
        <v/>
      </c>
      <c r="F485" s="41">
        <f>IF(OR($J485="",$J$1=""),"",IF(INDEX(Tarifa!$G$13:$G$512,$J485)="","",IF(NOT(ISNUMBER(INDEX(Tarifa!$G$13:$G$512,$J485))),"Revisa",IF($J$1=1,INDEX(Tarifa!$G$13:$G$512,$J485),ROUND(ROUND(INDEX(Tarifa!$G$13:$G$512,$J485)*(1+$J$2/100)/$J$3,0)*$J$3,2)))))</f>
        <v/>
      </c>
      <c r="G485" s="42">
        <f>IF(OR(NOT(ISNUMBER(F485)),N(E485)&lt;=1),"",ROUND(F485/E485,3))</f>
        <v/>
      </c>
      <c r="H485" s="43">
        <f>IF($J485="","",IF(INDEX(Tarifa!$H$13:$H$512,$J485)="","",INDEX(Tarifa!$H$13:$H$512,$J485)))</f>
        <v/>
      </c>
      <c r="I485" s="41">
        <f>IF(OR($M$3="No",$M$3="",NOT(ISNUMBER(F485))),"",IF(NOT(ISNUMBER(H485)),"Falta IVA",ROUND(F485*(1+(H485+IF($M$3="Con IVA y recargo",IF(H485=21,5.2,IF(H485=10,1.4,IF(H485=4,0.5,0))),0))/100),2)))</f>
        <v/>
      </c>
      <c r="J485">
        <f>IFERROR(MATCH(475,Tarifa!$O$13:$O$512,0),"")</f>
        <v/>
      </c>
    </row>
    <row r="486" ht="17" customHeight="1">
      <c r="A486" s="38">
        <f>IF($J486="","",IFERROR(IF(INDEX(Tarifa!$E$13:$E$512,$J486)&amp;""=INDEX(Tarifa!$E$13:$E$512,$J485)&amp;"","",INDEX(Tarifa!$E$13:$E$512,$J486)&amp;""),""))</f>
        <v/>
      </c>
      <c r="B486" s="39">
        <f>IF($J486="","",INDEX(Tarifa!$A$13:$A$512,$J486)&amp;"")</f>
        <v/>
      </c>
      <c r="C486" s="39">
        <f>IF($J486="","",INDEX(Tarifa!$B$13:$B$512,$J486)&amp;"")</f>
        <v/>
      </c>
      <c r="D486" s="39">
        <f>IF($J486="","",INDEX(Tarifa!$C$13:$C$512,$J486)&amp;"")</f>
        <v/>
      </c>
      <c r="E486" s="40">
        <f>IF($J486="","",IF(INDEX(Tarifa!$D$13:$D$512,$J486)="","",INDEX(Tarifa!$D$13:$D$512,$J486)))</f>
        <v/>
      </c>
      <c r="F486" s="41">
        <f>IF(OR($J486="",$J$1=""),"",IF(INDEX(Tarifa!$G$13:$G$512,$J486)="","",IF(NOT(ISNUMBER(INDEX(Tarifa!$G$13:$G$512,$J486))),"Revisa",IF($J$1=1,INDEX(Tarifa!$G$13:$G$512,$J486),ROUND(ROUND(INDEX(Tarifa!$G$13:$G$512,$J486)*(1+$J$2/100)/$J$3,0)*$J$3,2)))))</f>
        <v/>
      </c>
      <c r="G486" s="42">
        <f>IF(OR(NOT(ISNUMBER(F486)),N(E486)&lt;=1),"",ROUND(F486/E486,3))</f>
        <v/>
      </c>
      <c r="H486" s="43">
        <f>IF($J486="","",IF(INDEX(Tarifa!$H$13:$H$512,$J486)="","",INDEX(Tarifa!$H$13:$H$512,$J486)))</f>
        <v/>
      </c>
      <c r="I486" s="41">
        <f>IF(OR($M$3="No",$M$3="",NOT(ISNUMBER(F486))),"",IF(NOT(ISNUMBER(H486)),"Falta IVA",ROUND(F486*(1+(H486+IF($M$3="Con IVA y recargo",IF(H486=21,5.2,IF(H486=10,1.4,IF(H486=4,0.5,0))),0))/100),2)))</f>
        <v/>
      </c>
      <c r="J486">
        <f>IFERROR(MATCH(476,Tarifa!$O$13:$O$512,0),"")</f>
        <v/>
      </c>
    </row>
    <row r="487" ht="17" customHeight="1">
      <c r="A487" s="38">
        <f>IF($J487="","",IFERROR(IF(INDEX(Tarifa!$E$13:$E$512,$J487)&amp;""=INDEX(Tarifa!$E$13:$E$512,$J486)&amp;"","",INDEX(Tarifa!$E$13:$E$512,$J487)&amp;""),""))</f>
        <v/>
      </c>
      <c r="B487" s="39">
        <f>IF($J487="","",INDEX(Tarifa!$A$13:$A$512,$J487)&amp;"")</f>
        <v/>
      </c>
      <c r="C487" s="39">
        <f>IF($J487="","",INDEX(Tarifa!$B$13:$B$512,$J487)&amp;"")</f>
        <v/>
      </c>
      <c r="D487" s="39">
        <f>IF($J487="","",INDEX(Tarifa!$C$13:$C$512,$J487)&amp;"")</f>
        <v/>
      </c>
      <c r="E487" s="40">
        <f>IF($J487="","",IF(INDEX(Tarifa!$D$13:$D$512,$J487)="","",INDEX(Tarifa!$D$13:$D$512,$J487)))</f>
        <v/>
      </c>
      <c r="F487" s="41">
        <f>IF(OR($J487="",$J$1=""),"",IF(INDEX(Tarifa!$G$13:$G$512,$J487)="","",IF(NOT(ISNUMBER(INDEX(Tarifa!$G$13:$G$512,$J487))),"Revisa",IF($J$1=1,INDEX(Tarifa!$G$13:$G$512,$J487),ROUND(ROUND(INDEX(Tarifa!$G$13:$G$512,$J487)*(1+$J$2/100)/$J$3,0)*$J$3,2)))))</f>
        <v/>
      </c>
      <c r="G487" s="42">
        <f>IF(OR(NOT(ISNUMBER(F487)),N(E487)&lt;=1),"",ROUND(F487/E487,3))</f>
        <v/>
      </c>
      <c r="H487" s="43">
        <f>IF($J487="","",IF(INDEX(Tarifa!$H$13:$H$512,$J487)="","",INDEX(Tarifa!$H$13:$H$512,$J487)))</f>
        <v/>
      </c>
      <c r="I487" s="41">
        <f>IF(OR($M$3="No",$M$3="",NOT(ISNUMBER(F487))),"",IF(NOT(ISNUMBER(H487)),"Falta IVA",ROUND(F487*(1+(H487+IF($M$3="Con IVA y recargo",IF(H487=21,5.2,IF(H487=10,1.4,IF(H487=4,0.5,0))),0))/100),2)))</f>
        <v/>
      </c>
      <c r="J487">
        <f>IFERROR(MATCH(477,Tarifa!$O$13:$O$512,0),"")</f>
        <v/>
      </c>
    </row>
    <row r="488" ht="17" customHeight="1">
      <c r="A488" s="38">
        <f>IF($J488="","",IFERROR(IF(INDEX(Tarifa!$E$13:$E$512,$J488)&amp;""=INDEX(Tarifa!$E$13:$E$512,$J487)&amp;"","",INDEX(Tarifa!$E$13:$E$512,$J488)&amp;""),""))</f>
        <v/>
      </c>
      <c r="B488" s="39">
        <f>IF($J488="","",INDEX(Tarifa!$A$13:$A$512,$J488)&amp;"")</f>
        <v/>
      </c>
      <c r="C488" s="39">
        <f>IF($J488="","",INDEX(Tarifa!$B$13:$B$512,$J488)&amp;"")</f>
        <v/>
      </c>
      <c r="D488" s="39">
        <f>IF($J488="","",INDEX(Tarifa!$C$13:$C$512,$J488)&amp;"")</f>
        <v/>
      </c>
      <c r="E488" s="40">
        <f>IF($J488="","",IF(INDEX(Tarifa!$D$13:$D$512,$J488)="","",INDEX(Tarifa!$D$13:$D$512,$J488)))</f>
        <v/>
      </c>
      <c r="F488" s="41">
        <f>IF(OR($J488="",$J$1=""),"",IF(INDEX(Tarifa!$G$13:$G$512,$J488)="","",IF(NOT(ISNUMBER(INDEX(Tarifa!$G$13:$G$512,$J488))),"Revisa",IF($J$1=1,INDEX(Tarifa!$G$13:$G$512,$J488),ROUND(ROUND(INDEX(Tarifa!$G$13:$G$512,$J488)*(1+$J$2/100)/$J$3,0)*$J$3,2)))))</f>
        <v/>
      </c>
      <c r="G488" s="42">
        <f>IF(OR(NOT(ISNUMBER(F488)),N(E488)&lt;=1),"",ROUND(F488/E488,3))</f>
        <v/>
      </c>
      <c r="H488" s="43">
        <f>IF($J488="","",IF(INDEX(Tarifa!$H$13:$H$512,$J488)="","",INDEX(Tarifa!$H$13:$H$512,$J488)))</f>
        <v/>
      </c>
      <c r="I488" s="41">
        <f>IF(OR($M$3="No",$M$3="",NOT(ISNUMBER(F488))),"",IF(NOT(ISNUMBER(H488)),"Falta IVA",ROUND(F488*(1+(H488+IF($M$3="Con IVA y recargo",IF(H488=21,5.2,IF(H488=10,1.4,IF(H488=4,0.5,0))),0))/100),2)))</f>
        <v/>
      </c>
      <c r="J488">
        <f>IFERROR(MATCH(478,Tarifa!$O$13:$O$512,0),"")</f>
        <v/>
      </c>
    </row>
    <row r="489" ht="17" customHeight="1">
      <c r="A489" s="38">
        <f>IF($J489="","",IFERROR(IF(INDEX(Tarifa!$E$13:$E$512,$J489)&amp;""=INDEX(Tarifa!$E$13:$E$512,$J488)&amp;"","",INDEX(Tarifa!$E$13:$E$512,$J489)&amp;""),""))</f>
        <v/>
      </c>
      <c r="B489" s="39">
        <f>IF($J489="","",INDEX(Tarifa!$A$13:$A$512,$J489)&amp;"")</f>
        <v/>
      </c>
      <c r="C489" s="39">
        <f>IF($J489="","",INDEX(Tarifa!$B$13:$B$512,$J489)&amp;"")</f>
        <v/>
      </c>
      <c r="D489" s="39">
        <f>IF($J489="","",INDEX(Tarifa!$C$13:$C$512,$J489)&amp;"")</f>
        <v/>
      </c>
      <c r="E489" s="40">
        <f>IF($J489="","",IF(INDEX(Tarifa!$D$13:$D$512,$J489)="","",INDEX(Tarifa!$D$13:$D$512,$J489)))</f>
        <v/>
      </c>
      <c r="F489" s="41">
        <f>IF(OR($J489="",$J$1=""),"",IF(INDEX(Tarifa!$G$13:$G$512,$J489)="","",IF(NOT(ISNUMBER(INDEX(Tarifa!$G$13:$G$512,$J489))),"Revisa",IF($J$1=1,INDEX(Tarifa!$G$13:$G$512,$J489),ROUND(ROUND(INDEX(Tarifa!$G$13:$G$512,$J489)*(1+$J$2/100)/$J$3,0)*$J$3,2)))))</f>
        <v/>
      </c>
      <c r="G489" s="42">
        <f>IF(OR(NOT(ISNUMBER(F489)),N(E489)&lt;=1),"",ROUND(F489/E489,3))</f>
        <v/>
      </c>
      <c r="H489" s="43">
        <f>IF($J489="","",IF(INDEX(Tarifa!$H$13:$H$512,$J489)="","",INDEX(Tarifa!$H$13:$H$512,$J489)))</f>
        <v/>
      </c>
      <c r="I489" s="41">
        <f>IF(OR($M$3="No",$M$3="",NOT(ISNUMBER(F489))),"",IF(NOT(ISNUMBER(H489)),"Falta IVA",ROUND(F489*(1+(H489+IF($M$3="Con IVA y recargo",IF(H489=21,5.2,IF(H489=10,1.4,IF(H489=4,0.5,0))),0))/100),2)))</f>
        <v/>
      </c>
      <c r="J489">
        <f>IFERROR(MATCH(479,Tarifa!$O$13:$O$512,0),"")</f>
        <v/>
      </c>
    </row>
    <row r="490" ht="17" customHeight="1">
      <c r="A490" s="38">
        <f>IF($J490="","",IFERROR(IF(INDEX(Tarifa!$E$13:$E$512,$J490)&amp;""=INDEX(Tarifa!$E$13:$E$512,$J489)&amp;"","",INDEX(Tarifa!$E$13:$E$512,$J490)&amp;""),""))</f>
        <v/>
      </c>
      <c r="B490" s="39">
        <f>IF($J490="","",INDEX(Tarifa!$A$13:$A$512,$J490)&amp;"")</f>
        <v/>
      </c>
      <c r="C490" s="39">
        <f>IF($J490="","",INDEX(Tarifa!$B$13:$B$512,$J490)&amp;"")</f>
        <v/>
      </c>
      <c r="D490" s="39">
        <f>IF($J490="","",INDEX(Tarifa!$C$13:$C$512,$J490)&amp;"")</f>
        <v/>
      </c>
      <c r="E490" s="40">
        <f>IF($J490="","",IF(INDEX(Tarifa!$D$13:$D$512,$J490)="","",INDEX(Tarifa!$D$13:$D$512,$J490)))</f>
        <v/>
      </c>
      <c r="F490" s="41">
        <f>IF(OR($J490="",$J$1=""),"",IF(INDEX(Tarifa!$G$13:$G$512,$J490)="","",IF(NOT(ISNUMBER(INDEX(Tarifa!$G$13:$G$512,$J490))),"Revisa",IF($J$1=1,INDEX(Tarifa!$G$13:$G$512,$J490),ROUND(ROUND(INDEX(Tarifa!$G$13:$G$512,$J490)*(1+$J$2/100)/$J$3,0)*$J$3,2)))))</f>
        <v/>
      </c>
      <c r="G490" s="42">
        <f>IF(OR(NOT(ISNUMBER(F490)),N(E490)&lt;=1),"",ROUND(F490/E490,3))</f>
        <v/>
      </c>
      <c r="H490" s="43">
        <f>IF($J490="","",IF(INDEX(Tarifa!$H$13:$H$512,$J490)="","",INDEX(Tarifa!$H$13:$H$512,$J490)))</f>
        <v/>
      </c>
      <c r="I490" s="41">
        <f>IF(OR($M$3="No",$M$3="",NOT(ISNUMBER(F490))),"",IF(NOT(ISNUMBER(H490)),"Falta IVA",ROUND(F490*(1+(H490+IF($M$3="Con IVA y recargo",IF(H490=21,5.2,IF(H490=10,1.4,IF(H490=4,0.5,0))),0))/100),2)))</f>
        <v/>
      </c>
      <c r="J490">
        <f>IFERROR(MATCH(480,Tarifa!$O$13:$O$512,0),"")</f>
        <v/>
      </c>
    </row>
    <row r="491" ht="17" customHeight="1">
      <c r="A491" s="38">
        <f>IF($J491="","",IFERROR(IF(INDEX(Tarifa!$E$13:$E$512,$J491)&amp;""=INDEX(Tarifa!$E$13:$E$512,$J490)&amp;"","",INDEX(Tarifa!$E$13:$E$512,$J491)&amp;""),""))</f>
        <v/>
      </c>
      <c r="B491" s="39">
        <f>IF($J491="","",INDEX(Tarifa!$A$13:$A$512,$J491)&amp;"")</f>
        <v/>
      </c>
      <c r="C491" s="39">
        <f>IF($J491="","",INDEX(Tarifa!$B$13:$B$512,$J491)&amp;"")</f>
        <v/>
      </c>
      <c r="D491" s="39">
        <f>IF($J491="","",INDEX(Tarifa!$C$13:$C$512,$J491)&amp;"")</f>
        <v/>
      </c>
      <c r="E491" s="40">
        <f>IF($J491="","",IF(INDEX(Tarifa!$D$13:$D$512,$J491)="","",INDEX(Tarifa!$D$13:$D$512,$J491)))</f>
        <v/>
      </c>
      <c r="F491" s="41">
        <f>IF(OR($J491="",$J$1=""),"",IF(INDEX(Tarifa!$G$13:$G$512,$J491)="","",IF(NOT(ISNUMBER(INDEX(Tarifa!$G$13:$G$512,$J491))),"Revisa",IF($J$1=1,INDEX(Tarifa!$G$13:$G$512,$J491),ROUND(ROUND(INDEX(Tarifa!$G$13:$G$512,$J491)*(1+$J$2/100)/$J$3,0)*$J$3,2)))))</f>
        <v/>
      </c>
      <c r="G491" s="42">
        <f>IF(OR(NOT(ISNUMBER(F491)),N(E491)&lt;=1),"",ROUND(F491/E491,3))</f>
        <v/>
      </c>
      <c r="H491" s="43">
        <f>IF($J491="","",IF(INDEX(Tarifa!$H$13:$H$512,$J491)="","",INDEX(Tarifa!$H$13:$H$512,$J491)))</f>
        <v/>
      </c>
      <c r="I491" s="41">
        <f>IF(OR($M$3="No",$M$3="",NOT(ISNUMBER(F491))),"",IF(NOT(ISNUMBER(H491)),"Falta IVA",ROUND(F491*(1+(H491+IF($M$3="Con IVA y recargo",IF(H491=21,5.2,IF(H491=10,1.4,IF(H491=4,0.5,0))),0))/100),2)))</f>
        <v/>
      </c>
      <c r="J491">
        <f>IFERROR(MATCH(481,Tarifa!$O$13:$O$512,0),"")</f>
        <v/>
      </c>
    </row>
    <row r="492" ht="17" customHeight="1">
      <c r="A492" s="38">
        <f>IF($J492="","",IFERROR(IF(INDEX(Tarifa!$E$13:$E$512,$J492)&amp;""=INDEX(Tarifa!$E$13:$E$512,$J491)&amp;"","",INDEX(Tarifa!$E$13:$E$512,$J492)&amp;""),""))</f>
        <v/>
      </c>
      <c r="B492" s="39">
        <f>IF($J492="","",INDEX(Tarifa!$A$13:$A$512,$J492)&amp;"")</f>
        <v/>
      </c>
      <c r="C492" s="39">
        <f>IF($J492="","",INDEX(Tarifa!$B$13:$B$512,$J492)&amp;"")</f>
        <v/>
      </c>
      <c r="D492" s="39">
        <f>IF($J492="","",INDEX(Tarifa!$C$13:$C$512,$J492)&amp;"")</f>
        <v/>
      </c>
      <c r="E492" s="40">
        <f>IF($J492="","",IF(INDEX(Tarifa!$D$13:$D$512,$J492)="","",INDEX(Tarifa!$D$13:$D$512,$J492)))</f>
        <v/>
      </c>
      <c r="F492" s="41">
        <f>IF(OR($J492="",$J$1=""),"",IF(INDEX(Tarifa!$G$13:$G$512,$J492)="","",IF(NOT(ISNUMBER(INDEX(Tarifa!$G$13:$G$512,$J492))),"Revisa",IF($J$1=1,INDEX(Tarifa!$G$13:$G$512,$J492),ROUND(ROUND(INDEX(Tarifa!$G$13:$G$512,$J492)*(1+$J$2/100)/$J$3,0)*$J$3,2)))))</f>
        <v/>
      </c>
      <c r="G492" s="42">
        <f>IF(OR(NOT(ISNUMBER(F492)),N(E492)&lt;=1),"",ROUND(F492/E492,3))</f>
        <v/>
      </c>
      <c r="H492" s="43">
        <f>IF($J492="","",IF(INDEX(Tarifa!$H$13:$H$512,$J492)="","",INDEX(Tarifa!$H$13:$H$512,$J492)))</f>
        <v/>
      </c>
      <c r="I492" s="41">
        <f>IF(OR($M$3="No",$M$3="",NOT(ISNUMBER(F492))),"",IF(NOT(ISNUMBER(H492)),"Falta IVA",ROUND(F492*(1+(H492+IF($M$3="Con IVA y recargo",IF(H492=21,5.2,IF(H492=10,1.4,IF(H492=4,0.5,0))),0))/100),2)))</f>
        <v/>
      </c>
      <c r="J492">
        <f>IFERROR(MATCH(482,Tarifa!$O$13:$O$512,0),"")</f>
        <v/>
      </c>
    </row>
    <row r="493" ht="17" customHeight="1">
      <c r="A493" s="38">
        <f>IF($J493="","",IFERROR(IF(INDEX(Tarifa!$E$13:$E$512,$J493)&amp;""=INDEX(Tarifa!$E$13:$E$512,$J492)&amp;"","",INDEX(Tarifa!$E$13:$E$512,$J493)&amp;""),""))</f>
        <v/>
      </c>
      <c r="B493" s="39">
        <f>IF($J493="","",INDEX(Tarifa!$A$13:$A$512,$J493)&amp;"")</f>
        <v/>
      </c>
      <c r="C493" s="39">
        <f>IF($J493="","",INDEX(Tarifa!$B$13:$B$512,$J493)&amp;"")</f>
        <v/>
      </c>
      <c r="D493" s="39">
        <f>IF($J493="","",INDEX(Tarifa!$C$13:$C$512,$J493)&amp;"")</f>
        <v/>
      </c>
      <c r="E493" s="40">
        <f>IF($J493="","",IF(INDEX(Tarifa!$D$13:$D$512,$J493)="","",INDEX(Tarifa!$D$13:$D$512,$J493)))</f>
        <v/>
      </c>
      <c r="F493" s="41">
        <f>IF(OR($J493="",$J$1=""),"",IF(INDEX(Tarifa!$G$13:$G$512,$J493)="","",IF(NOT(ISNUMBER(INDEX(Tarifa!$G$13:$G$512,$J493))),"Revisa",IF($J$1=1,INDEX(Tarifa!$G$13:$G$512,$J493),ROUND(ROUND(INDEX(Tarifa!$G$13:$G$512,$J493)*(1+$J$2/100)/$J$3,0)*$J$3,2)))))</f>
        <v/>
      </c>
      <c r="G493" s="42">
        <f>IF(OR(NOT(ISNUMBER(F493)),N(E493)&lt;=1),"",ROUND(F493/E493,3))</f>
        <v/>
      </c>
      <c r="H493" s="43">
        <f>IF($J493="","",IF(INDEX(Tarifa!$H$13:$H$512,$J493)="","",INDEX(Tarifa!$H$13:$H$512,$J493)))</f>
        <v/>
      </c>
      <c r="I493" s="41">
        <f>IF(OR($M$3="No",$M$3="",NOT(ISNUMBER(F493))),"",IF(NOT(ISNUMBER(H493)),"Falta IVA",ROUND(F493*(1+(H493+IF($M$3="Con IVA y recargo",IF(H493=21,5.2,IF(H493=10,1.4,IF(H493=4,0.5,0))),0))/100),2)))</f>
        <v/>
      </c>
      <c r="J493">
        <f>IFERROR(MATCH(483,Tarifa!$O$13:$O$512,0),"")</f>
        <v/>
      </c>
    </row>
    <row r="494" ht="17" customHeight="1">
      <c r="A494" s="38">
        <f>IF($J494="","",IFERROR(IF(INDEX(Tarifa!$E$13:$E$512,$J494)&amp;""=INDEX(Tarifa!$E$13:$E$512,$J493)&amp;"","",INDEX(Tarifa!$E$13:$E$512,$J494)&amp;""),""))</f>
        <v/>
      </c>
      <c r="B494" s="39">
        <f>IF($J494="","",INDEX(Tarifa!$A$13:$A$512,$J494)&amp;"")</f>
        <v/>
      </c>
      <c r="C494" s="39">
        <f>IF($J494="","",INDEX(Tarifa!$B$13:$B$512,$J494)&amp;"")</f>
        <v/>
      </c>
      <c r="D494" s="39">
        <f>IF($J494="","",INDEX(Tarifa!$C$13:$C$512,$J494)&amp;"")</f>
        <v/>
      </c>
      <c r="E494" s="40">
        <f>IF($J494="","",IF(INDEX(Tarifa!$D$13:$D$512,$J494)="","",INDEX(Tarifa!$D$13:$D$512,$J494)))</f>
        <v/>
      </c>
      <c r="F494" s="41">
        <f>IF(OR($J494="",$J$1=""),"",IF(INDEX(Tarifa!$G$13:$G$512,$J494)="","",IF(NOT(ISNUMBER(INDEX(Tarifa!$G$13:$G$512,$J494))),"Revisa",IF($J$1=1,INDEX(Tarifa!$G$13:$G$512,$J494),ROUND(ROUND(INDEX(Tarifa!$G$13:$G$512,$J494)*(1+$J$2/100)/$J$3,0)*$J$3,2)))))</f>
        <v/>
      </c>
      <c r="G494" s="42">
        <f>IF(OR(NOT(ISNUMBER(F494)),N(E494)&lt;=1),"",ROUND(F494/E494,3))</f>
        <v/>
      </c>
      <c r="H494" s="43">
        <f>IF($J494="","",IF(INDEX(Tarifa!$H$13:$H$512,$J494)="","",INDEX(Tarifa!$H$13:$H$512,$J494)))</f>
        <v/>
      </c>
      <c r="I494" s="41">
        <f>IF(OR($M$3="No",$M$3="",NOT(ISNUMBER(F494))),"",IF(NOT(ISNUMBER(H494)),"Falta IVA",ROUND(F494*(1+(H494+IF($M$3="Con IVA y recargo",IF(H494=21,5.2,IF(H494=10,1.4,IF(H494=4,0.5,0))),0))/100),2)))</f>
        <v/>
      </c>
      <c r="J494">
        <f>IFERROR(MATCH(484,Tarifa!$O$13:$O$512,0),"")</f>
        <v/>
      </c>
    </row>
    <row r="495" ht="17" customHeight="1">
      <c r="A495" s="38">
        <f>IF($J495="","",IFERROR(IF(INDEX(Tarifa!$E$13:$E$512,$J495)&amp;""=INDEX(Tarifa!$E$13:$E$512,$J494)&amp;"","",INDEX(Tarifa!$E$13:$E$512,$J495)&amp;""),""))</f>
        <v/>
      </c>
      <c r="B495" s="39">
        <f>IF($J495="","",INDEX(Tarifa!$A$13:$A$512,$J495)&amp;"")</f>
        <v/>
      </c>
      <c r="C495" s="39">
        <f>IF($J495="","",INDEX(Tarifa!$B$13:$B$512,$J495)&amp;"")</f>
        <v/>
      </c>
      <c r="D495" s="39">
        <f>IF($J495="","",INDEX(Tarifa!$C$13:$C$512,$J495)&amp;"")</f>
        <v/>
      </c>
      <c r="E495" s="40">
        <f>IF($J495="","",IF(INDEX(Tarifa!$D$13:$D$512,$J495)="","",INDEX(Tarifa!$D$13:$D$512,$J495)))</f>
        <v/>
      </c>
      <c r="F495" s="41">
        <f>IF(OR($J495="",$J$1=""),"",IF(INDEX(Tarifa!$G$13:$G$512,$J495)="","",IF(NOT(ISNUMBER(INDEX(Tarifa!$G$13:$G$512,$J495))),"Revisa",IF($J$1=1,INDEX(Tarifa!$G$13:$G$512,$J495),ROUND(ROUND(INDEX(Tarifa!$G$13:$G$512,$J495)*(1+$J$2/100)/$J$3,0)*$J$3,2)))))</f>
        <v/>
      </c>
      <c r="G495" s="42">
        <f>IF(OR(NOT(ISNUMBER(F495)),N(E495)&lt;=1),"",ROUND(F495/E495,3))</f>
        <v/>
      </c>
      <c r="H495" s="43">
        <f>IF($J495="","",IF(INDEX(Tarifa!$H$13:$H$512,$J495)="","",INDEX(Tarifa!$H$13:$H$512,$J495)))</f>
        <v/>
      </c>
      <c r="I495" s="41">
        <f>IF(OR($M$3="No",$M$3="",NOT(ISNUMBER(F495))),"",IF(NOT(ISNUMBER(H495)),"Falta IVA",ROUND(F495*(1+(H495+IF($M$3="Con IVA y recargo",IF(H495=21,5.2,IF(H495=10,1.4,IF(H495=4,0.5,0))),0))/100),2)))</f>
        <v/>
      </c>
      <c r="J495">
        <f>IFERROR(MATCH(485,Tarifa!$O$13:$O$512,0),"")</f>
        <v/>
      </c>
    </row>
    <row r="496" ht="17" customHeight="1">
      <c r="A496" s="38">
        <f>IF($J496="","",IFERROR(IF(INDEX(Tarifa!$E$13:$E$512,$J496)&amp;""=INDEX(Tarifa!$E$13:$E$512,$J495)&amp;"","",INDEX(Tarifa!$E$13:$E$512,$J496)&amp;""),""))</f>
        <v/>
      </c>
      <c r="B496" s="39">
        <f>IF($J496="","",INDEX(Tarifa!$A$13:$A$512,$J496)&amp;"")</f>
        <v/>
      </c>
      <c r="C496" s="39">
        <f>IF($J496="","",INDEX(Tarifa!$B$13:$B$512,$J496)&amp;"")</f>
        <v/>
      </c>
      <c r="D496" s="39">
        <f>IF($J496="","",INDEX(Tarifa!$C$13:$C$512,$J496)&amp;"")</f>
        <v/>
      </c>
      <c r="E496" s="40">
        <f>IF($J496="","",IF(INDEX(Tarifa!$D$13:$D$512,$J496)="","",INDEX(Tarifa!$D$13:$D$512,$J496)))</f>
        <v/>
      </c>
      <c r="F496" s="41">
        <f>IF(OR($J496="",$J$1=""),"",IF(INDEX(Tarifa!$G$13:$G$512,$J496)="","",IF(NOT(ISNUMBER(INDEX(Tarifa!$G$13:$G$512,$J496))),"Revisa",IF($J$1=1,INDEX(Tarifa!$G$13:$G$512,$J496),ROUND(ROUND(INDEX(Tarifa!$G$13:$G$512,$J496)*(1+$J$2/100)/$J$3,0)*$J$3,2)))))</f>
        <v/>
      </c>
      <c r="G496" s="42">
        <f>IF(OR(NOT(ISNUMBER(F496)),N(E496)&lt;=1),"",ROUND(F496/E496,3))</f>
        <v/>
      </c>
      <c r="H496" s="43">
        <f>IF($J496="","",IF(INDEX(Tarifa!$H$13:$H$512,$J496)="","",INDEX(Tarifa!$H$13:$H$512,$J496)))</f>
        <v/>
      </c>
      <c r="I496" s="41">
        <f>IF(OR($M$3="No",$M$3="",NOT(ISNUMBER(F496))),"",IF(NOT(ISNUMBER(H496)),"Falta IVA",ROUND(F496*(1+(H496+IF($M$3="Con IVA y recargo",IF(H496=21,5.2,IF(H496=10,1.4,IF(H496=4,0.5,0))),0))/100),2)))</f>
        <v/>
      </c>
      <c r="J496">
        <f>IFERROR(MATCH(486,Tarifa!$O$13:$O$512,0),"")</f>
        <v/>
      </c>
    </row>
    <row r="497" ht="17" customHeight="1">
      <c r="A497" s="38">
        <f>IF($J497="","",IFERROR(IF(INDEX(Tarifa!$E$13:$E$512,$J497)&amp;""=INDEX(Tarifa!$E$13:$E$512,$J496)&amp;"","",INDEX(Tarifa!$E$13:$E$512,$J497)&amp;""),""))</f>
        <v/>
      </c>
      <c r="B497" s="39">
        <f>IF($J497="","",INDEX(Tarifa!$A$13:$A$512,$J497)&amp;"")</f>
        <v/>
      </c>
      <c r="C497" s="39">
        <f>IF($J497="","",INDEX(Tarifa!$B$13:$B$512,$J497)&amp;"")</f>
        <v/>
      </c>
      <c r="D497" s="39">
        <f>IF($J497="","",INDEX(Tarifa!$C$13:$C$512,$J497)&amp;"")</f>
        <v/>
      </c>
      <c r="E497" s="40">
        <f>IF($J497="","",IF(INDEX(Tarifa!$D$13:$D$512,$J497)="","",INDEX(Tarifa!$D$13:$D$512,$J497)))</f>
        <v/>
      </c>
      <c r="F497" s="41">
        <f>IF(OR($J497="",$J$1=""),"",IF(INDEX(Tarifa!$G$13:$G$512,$J497)="","",IF(NOT(ISNUMBER(INDEX(Tarifa!$G$13:$G$512,$J497))),"Revisa",IF($J$1=1,INDEX(Tarifa!$G$13:$G$512,$J497),ROUND(ROUND(INDEX(Tarifa!$G$13:$G$512,$J497)*(1+$J$2/100)/$J$3,0)*$J$3,2)))))</f>
        <v/>
      </c>
      <c r="G497" s="42">
        <f>IF(OR(NOT(ISNUMBER(F497)),N(E497)&lt;=1),"",ROUND(F497/E497,3))</f>
        <v/>
      </c>
      <c r="H497" s="43">
        <f>IF($J497="","",IF(INDEX(Tarifa!$H$13:$H$512,$J497)="","",INDEX(Tarifa!$H$13:$H$512,$J497)))</f>
        <v/>
      </c>
      <c r="I497" s="41">
        <f>IF(OR($M$3="No",$M$3="",NOT(ISNUMBER(F497))),"",IF(NOT(ISNUMBER(H497)),"Falta IVA",ROUND(F497*(1+(H497+IF($M$3="Con IVA y recargo",IF(H497=21,5.2,IF(H497=10,1.4,IF(H497=4,0.5,0))),0))/100),2)))</f>
        <v/>
      </c>
      <c r="J497">
        <f>IFERROR(MATCH(487,Tarifa!$O$13:$O$512,0),"")</f>
        <v/>
      </c>
    </row>
    <row r="498" ht="17" customHeight="1">
      <c r="A498" s="38">
        <f>IF($J498="","",IFERROR(IF(INDEX(Tarifa!$E$13:$E$512,$J498)&amp;""=INDEX(Tarifa!$E$13:$E$512,$J497)&amp;"","",INDEX(Tarifa!$E$13:$E$512,$J498)&amp;""),""))</f>
        <v/>
      </c>
      <c r="B498" s="39">
        <f>IF($J498="","",INDEX(Tarifa!$A$13:$A$512,$J498)&amp;"")</f>
        <v/>
      </c>
      <c r="C498" s="39">
        <f>IF($J498="","",INDEX(Tarifa!$B$13:$B$512,$J498)&amp;"")</f>
        <v/>
      </c>
      <c r="D498" s="39">
        <f>IF($J498="","",INDEX(Tarifa!$C$13:$C$512,$J498)&amp;"")</f>
        <v/>
      </c>
      <c r="E498" s="40">
        <f>IF($J498="","",IF(INDEX(Tarifa!$D$13:$D$512,$J498)="","",INDEX(Tarifa!$D$13:$D$512,$J498)))</f>
        <v/>
      </c>
      <c r="F498" s="41">
        <f>IF(OR($J498="",$J$1=""),"",IF(INDEX(Tarifa!$G$13:$G$512,$J498)="","",IF(NOT(ISNUMBER(INDEX(Tarifa!$G$13:$G$512,$J498))),"Revisa",IF($J$1=1,INDEX(Tarifa!$G$13:$G$512,$J498),ROUND(ROUND(INDEX(Tarifa!$G$13:$G$512,$J498)*(1+$J$2/100)/$J$3,0)*$J$3,2)))))</f>
        <v/>
      </c>
      <c r="G498" s="42">
        <f>IF(OR(NOT(ISNUMBER(F498)),N(E498)&lt;=1),"",ROUND(F498/E498,3))</f>
        <v/>
      </c>
      <c r="H498" s="43">
        <f>IF($J498="","",IF(INDEX(Tarifa!$H$13:$H$512,$J498)="","",INDEX(Tarifa!$H$13:$H$512,$J498)))</f>
        <v/>
      </c>
      <c r="I498" s="41">
        <f>IF(OR($M$3="No",$M$3="",NOT(ISNUMBER(F498))),"",IF(NOT(ISNUMBER(H498)),"Falta IVA",ROUND(F498*(1+(H498+IF($M$3="Con IVA y recargo",IF(H498=21,5.2,IF(H498=10,1.4,IF(H498=4,0.5,0))),0))/100),2)))</f>
        <v/>
      </c>
      <c r="J498">
        <f>IFERROR(MATCH(488,Tarifa!$O$13:$O$512,0),"")</f>
        <v/>
      </c>
    </row>
    <row r="499" ht="17" customHeight="1">
      <c r="A499" s="38">
        <f>IF($J499="","",IFERROR(IF(INDEX(Tarifa!$E$13:$E$512,$J499)&amp;""=INDEX(Tarifa!$E$13:$E$512,$J498)&amp;"","",INDEX(Tarifa!$E$13:$E$512,$J499)&amp;""),""))</f>
        <v/>
      </c>
      <c r="B499" s="39">
        <f>IF($J499="","",INDEX(Tarifa!$A$13:$A$512,$J499)&amp;"")</f>
        <v/>
      </c>
      <c r="C499" s="39">
        <f>IF($J499="","",INDEX(Tarifa!$B$13:$B$512,$J499)&amp;"")</f>
        <v/>
      </c>
      <c r="D499" s="39">
        <f>IF($J499="","",INDEX(Tarifa!$C$13:$C$512,$J499)&amp;"")</f>
        <v/>
      </c>
      <c r="E499" s="40">
        <f>IF($J499="","",IF(INDEX(Tarifa!$D$13:$D$512,$J499)="","",INDEX(Tarifa!$D$13:$D$512,$J499)))</f>
        <v/>
      </c>
      <c r="F499" s="41">
        <f>IF(OR($J499="",$J$1=""),"",IF(INDEX(Tarifa!$G$13:$G$512,$J499)="","",IF(NOT(ISNUMBER(INDEX(Tarifa!$G$13:$G$512,$J499))),"Revisa",IF($J$1=1,INDEX(Tarifa!$G$13:$G$512,$J499),ROUND(ROUND(INDEX(Tarifa!$G$13:$G$512,$J499)*(1+$J$2/100)/$J$3,0)*$J$3,2)))))</f>
        <v/>
      </c>
      <c r="G499" s="42">
        <f>IF(OR(NOT(ISNUMBER(F499)),N(E499)&lt;=1),"",ROUND(F499/E499,3))</f>
        <v/>
      </c>
      <c r="H499" s="43">
        <f>IF($J499="","",IF(INDEX(Tarifa!$H$13:$H$512,$J499)="","",INDEX(Tarifa!$H$13:$H$512,$J499)))</f>
        <v/>
      </c>
      <c r="I499" s="41">
        <f>IF(OR($M$3="No",$M$3="",NOT(ISNUMBER(F499))),"",IF(NOT(ISNUMBER(H499)),"Falta IVA",ROUND(F499*(1+(H499+IF($M$3="Con IVA y recargo",IF(H499=21,5.2,IF(H499=10,1.4,IF(H499=4,0.5,0))),0))/100),2)))</f>
        <v/>
      </c>
      <c r="J499">
        <f>IFERROR(MATCH(489,Tarifa!$O$13:$O$512,0),"")</f>
        <v/>
      </c>
    </row>
    <row r="500" ht="17" customHeight="1">
      <c r="A500" s="38">
        <f>IF($J500="","",IFERROR(IF(INDEX(Tarifa!$E$13:$E$512,$J500)&amp;""=INDEX(Tarifa!$E$13:$E$512,$J499)&amp;"","",INDEX(Tarifa!$E$13:$E$512,$J500)&amp;""),""))</f>
        <v/>
      </c>
      <c r="B500" s="39">
        <f>IF($J500="","",INDEX(Tarifa!$A$13:$A$512,$J500)&amp;"")</f>
        <v/>
      </c>
      <c r="C500" s="39">
        <f>IF($J500="","",INDEX(Tarifa!$B$13:$B$512,$J500)&amp;"")</f>
        <v/>
      </c>
      <c r="D500" s="39">
        <f>IF($J500="","",INDEX(Tarifa!$C$13:$C$512,$J500)&amp;"")</f>
        <v/>
      </c>
      <c r="E500" s="40">
        <f>IF($J500="","",IF(INDEX(Tarifa!$D$13:$D$512,$J500)="","",INDEX(Tarifa!$D$13:$D$512,$J500)))</f>
        <v/>
      </c>
      <c r="F500" s="41">
        <f>IF(OR($J500="",$J$1=""),"",IF(INDEX(Tarifa!$G$13:$G$512,$J500)="","",IF(NOT(ISNUMBER(INDEX(Tarifa!$G$13:$G$512,$J500))),"Revisa",IF($J$1=1,INDEX(Tarifa!$G$13:$G$512,$J500),ROUND(ROUND(INDEX(Tarifa!$G$13:$G$512,$J500)*(1+$J$2/100)/$J$3,0)*$J$3,2)))))</f>
        <v/>
      </c>
      <c r="G500" s="42">
        <f>IF(OR(NOT(ISNUMBER(F500)),N(E500)&lt;=1),"",ROUND(F500/E500,3))</f>
        <v/>
      </c>
      <c r="H500" s="43">
        <f>IF($J500="","",IF(INDEX(Tarifa!$H$13:$H$512,$J500)="","",INDEX(Tarifa!$H$13:$H$512,$J500)))</f>
        <v/>
      </c>
      <c r="I500" s="41">
        <f>IF(OR($M$3="No",$M$3="",NOT(ISNUMBER(F500))),"",IF(NOT(ISNUMBER(H500)),"Falta IVA",ROUND(F500*(1+(H500+IF($M$3="Con IVA y recargo",IF(H500=21,5.2,IF(H500=10,1.4,IF(H500=4,0.5,0))),0))/100),2)))</f>
        <v/>
      </c>
      <c r="J500">
        <f>IFERROR(MATCH(490,Tarifa!$O$13:$O$512,0),"")</f>
        <v/>
      </c>
    </row>
    <row r="501" ht="17" customHeight="1">
      <c r="A501" s="38">
        <f>IF($J501="","",IFERROR(IF(INDEX(Tarifa!$E$13:$E$512,$J501)&amp;""=INDEX(Tarifa!$E$13:$E$512,$J500)&amp;"","",INDEX(Tarifa!$E$13:$E$512,$J501)&amp;""),""))</f>
        <v/>
      </c>
      <c r="B501" s="39">
        <f>IF($J501="","",INDEX(Tarifa!$A$13:$A$512,$J501)&amp;"")</f>
        <v/>
      </c>
      <c r="C501" s="39">
        <f>IF($J501="","",INDEX(Tarifa!$B$13:$B$512,$J501)&amp;"")</f>
        <v/>
      </c>
      <c r="D501" s="39">
        <f>IF($J501="","",INDEX(Tarifa!$C$13:$C$512,$J501)&amp;"")</f>
        <v/>
      </c>
      <c r="E501" s="40">
        <f>IF($J501="","",IF(INDEX(Tarifa!$D$13:$D$512,$J501)="","",INDEX(Tarifa!$D$13:$D$512,$J501)))</f>
        <v/>
      </c>
      <c r="F501" s="41">
        <f>IF(OR($J501="",$J$1=""),"",IF(INDEX(Tarifa!$G$13:$G$512,$J501)="","",IF(NOT(ISNUMBER(INDEX(Tarifa!$G$13:$G$512,$J501))),"Revisa",IF($J$1=1,INDEX(Tarifa!$G$13:$G$512,$J501),ROUND(ROUND(INDEX(Tarifa!$G$13:$G$512,$J501)*(1+$J$2/100)/$J$3,0)*$J$3,2)))))</f>
        <v/>
      </c>
      <c r="G501" s="42">
        <f>IF(OR(NOT(ISNUMBER(F501)),N(E501)&lt;=1),"",ROUND(F501/E501,3))</f>
        <v/>
      </c>
      <c r="H501" s="43">
        <f>IF($J501="","",IF(INDEX(Tarifa!$H$13:$H$512,$J501)="","",INDEX(Tarifa!$H$13:$H$512,$J501)))</f>
        <v/>
      </c>
      <c r="I501" s="41">
        <f>IF(OR($M$3="No",$M$3="",NOT(ISNUMBER(F501))),"",IF(NOT(ISNUMBER(H501)),"Falta IVA",ROUND(F501*(1+(H501+IF($M$3="Con IVA y recargo",IF(H501=21,5.2,IF(H501=10,1.4,IF(H501=4,0.5,0))),0))/100),2)))</f>
        <v/>
      </c>
      <c r="J501">
        <f>IFERROR(MATCH(491,Tarifa!$O$13:$O$512,0),"")</f>
        <v/>
      </c>
    </row>
    <row r="502" ht="17" customHeight="1">
      <c r="A502" s="38">
        <f>IF($J502="","",IFERROR(IF(INDEX(Tarifa!$E$13:$E$512,$J502)&amp;""=INDEX(Tarifa!$E$13:$E$512,$J501)&amp;"","",INDEX(Tarifa!$E$13:$E$512,$J502)&amp;""),""))</f>
        <v/>
      </c>
      <c r="B502" s="39">
        <f>IF($J502="","",INDEX(Tarifa!$A$13:$A$512,$J502)&amp;"")</f>
        <v/>
      </c>
      <c r="C502" s="39">
        <f>IF($J502="","",INDEX(Tarifa!$B$13:$B$512,$J502)&amp;"")</f>
        <v/>
      </c>
      <c r="D502" s="39">
        <f>IF($J502="","",INDEX(Tarifa!$C$13:$C$512,$J502)&amp;"")</f>
        <v/>
      </c>
      <c r="E502" s="40">
        <f>IF($J502="","",IF(INDEX(Tarifa!$D$13:$D$512,$J502)="","",INDEX(Tarifa!$D$13:$D$512,$J502)))</f>
        <v/>
      </c>
      <c r="F502" s="41">
        <f>IF(OR($J502="",$J$1=""),"",IF(INDEX(Tarifa!$G$13:$G$512,$J502)="","",IF(NOT(ISNUMBER(INDEX(Tarifa!$G$13:$G$512,$J502))),"Revisa",IF($J$1=1,INDEX(Tarifa!$G$13:$G$512,$J502),ROUND(ROUND(INDEX(Tarifa!$G$13:$G$512,$J502)*(1+$J$2/100)/$J$3,0)*$J$3,2)))))</f>
        <v/>
      </c>
      <c r="G502" s="42">
        <f>IF(OR(NOT(ISNUMBER(F502)),N(E502)&lt;=1),"",ROUND(F502/E502,3))</f>
        <v/>
      </c>
      <c r="H502" s="43">
        <f>IF($J502="","",IF(INDEX(Tarifa!$H$13:$H$512,$J502)="","",INDEX(Tarifa!$H$13:$H$512,$J502)))</f>
        <v/>
      </c>
      <c r="I502" s="41">
        <f>IF(OR($M$3="No",$M$3="",NOT(ISNUMBER(F502))),"",IF(NOT(ISNUMBER(H502)),"Falta IVA",ROUND(F502*(1+(H502+IF($M$3="Con IVA y recargo",IF(H502=21,5.2,IF(H502=10,1.4,IF(H502=4,0.5,0))),0))/100),2)))</f>
        <v/>
      </c>
      <c r="J502">
        <f>IFERROR(MATCH(492,Tarifa!$O$13:$O$512,0),"")</f>
        <v/>
      </c>
    </row>
    <row r="503" ht="17" customHeight="1">
      <c r="A503" s="38">
        <f>IF($J503="","",IFERROR(IF(INDEX(Tarifa!$E$13:$E$512,$J503)&amp;""=INDEX(Tarifa!$E$13:$E$512,$J502)&amp;"","",INDEX(Tarifa!$E$13:$E$512,$J503)&amp;""),""))</f>
        <v/>
      </c>
      <c r="B503" s="39">
        <f>IF($J503="","",INDEX(Tarifa!$A$13:$A$512,$J503)&amp;"")</f>
        <v/>
      </c>
      <c r="C503" s="39">
        <f>IF($J503="","",INDEX(Tarifa!$B$13:$B$512,$J503)&amp;"")</f>
        <v/>
      </c>
      <c r="D503" s="39">
        <f>IF($J503="","",INDEX(Tarifa!$C$13:$C$512,$J503)&amp;"")</f>
        <v/>
      </c>
      <c r="E503" s="40">
        <f>IF($J503="","",IF(INDEX(Tarifa!$D$13:$D$512,$J503)="","",INDEX(Tarifa!$D$13:$D$512,$J503)))</f>
        <v/>
      </c>
      <c r="F503" s="41">
        <f>IF(OR($J503="",$J$1=""),"",IF(INDEX(Tarifa!$G$13:$G$512,$J503)="","",IF(NOT(ISNUMBER(INDEX(Tarifa!$G$13:$G$512,$J503))),"Revisa",IF($J$1=1,INDEX(Tarifa!$G$13:$G$512,$J503),ROUND(ROUND(INDEX(Tarifa!$G$13:$G$512,$J503)*(1+$J$2/100)/$J$3,0)*$J$3,2)))))</f>
        <v/>
      </c>
      <c r="G503" s="42">
        <f>IF(OR(NOT(ISNUMBER(F503)),N(E503)&lt;=1),"",ROUND(F503/E503,3))</f>
        <v/>
      </c>
      <c r="H503" s="43">
        <f>IF($J503="","",IF(INDEX(Tarifa!$H$13:$H$512,$J503)="","",INDEX(Tarifa!$H$13:$H$512,$J503)))</f>
        <v/>
      </c>
      <c r="I503" s="41">
        <f>IF(OR($M$3="No",$M$3="",NOT(ISNUMBER(F503))),"",IF(NOT(ISNUMBER(H503)),"Falta IVA",ROUND(F503*(1+(H503+IF($M$3="Con IVA y recargo",IF(H503=21,5.2,IF(H503=10,1.4,IF(H503=4,0.5,0))),0))/100),2)))</f>
        <v/>
      </c>
      <c r="J503">
        <f>IFERROR(MATCH(493,Tarifa!$O$13:$O$512,0),"")</f>
        <v/>
      </c>
    </row>
    <row r="504" ht="17" customHeight="1">
      <c r="A504" s="38">
        <f>IF($J504="","",IFERROR(IF(INDEX(Tarifa!$E$13:$E$512,$J504)&amp;""=INDEX(Tarifa!$E$13:$E$512,$J503)&amp;"","",INDEX(Tarifa!$E$13:$E$512,$J504)&amp;""),""))</f>
        <v/>
      </c>
      <c r="B504" s="39">
        <f>IF($J504="","",INDEX(Tarifa!$A$13:$A$512,$J504)&amp;"")</f>
        <v/>
      </c>
      <c r="C504" s="39">
        <f>IF($J504="","",INDEX(Tarifa!$B$13:$B$512,$J504)&amp;"")</f>
        <v/>
      </c>
      <c r="D504" s="39">
        <f>IF($J504="","",INDEX(Tarifa!$C$13:$C$512,$J504)&amp;"")</f>
        <v/>
      </c>
      <c r="E504" s="40">
        <f>IF($J504="","",IF(INDEX(Tarifa!$D$13:$D$512,$J504)="","",INDEX(Tarifa!$D$13:$D$512,$J504)))</f>
        <v/>
      </c>
      <c r="F504" s="41">
        <f>IF(OR($J504="",$J$1=""),"",IF(INDEX(Tarifa!$G$13:$G$512,$J504)="","",IF(NOT(ISNUMBER(INDEX(Tarifa!$G$13:$G$512,$J504))),"Revisa",IF($J$1=1,INDEX(Tarifa!$G$13:$G$512,$J504),ROUND(ROUND(INDEX(Tarifa!$G$13:$G$512,$J504)*(1+$J$2/100)/$J$3,0)*$J$3,2)))))</f>
        <v/>
      </c>
      <c r="G504" s="42">
        <f>IF(OR(NOT(ISNUMBER(F504)),N(E504)&lt;=1),"",ROUND(F504/E504,3))</f>
        <v/>
      </c>
      <c r="H504" s="43">
        <f>IF($J504="","",IF(INDEX(Tarifa!$H$13:$H$512,$J504)="","",INDEX(Tarifa!$H$13:$H$512,$J504)))</f>
        <v/>
      </c>
      <c r="I504" s="41">
        <f>IF(OR($M$3="No",$M$3="",NOT(ISNUMBER(F504))),"",IF(NOT(ISNUMBER(H504)),"Falta IVA",ROUND(F504*(1+(H504+IF($M$3="Con IVA y recargo",IF(H504=21,5.2,IF(H504=10,1.4,IF(H504=4,0.5,0))),0))/100),2)))</f>
        <v/>
      </c>
      <c r="J504">
        <f>IFERROR(MATCH(494,Tarifa!$O$13:$O$512,0),"")</f>
        <v/>
      </c>
    </row>
    <row r="505" ht="17" customHeight="1">
      <c r="A505" s="38">
        <f>IF($J505="","",IFERROR(IF(INDEX(Tarifa!$E$13:$E$512,$J505)&amp;""=INDEX(Tarifa!$E$13:$E$512,$J504)&amp;"","",INDEX(Tarifa!$E$13:$E$512,$J505)&amp;""),""))</f>
        <v/>
      </c>
      <c r="B505" s="39">
        <f>IF($J505="","",INDEX(Tarifa!$A$13:$A$512,$J505)&amp;"")</f>
        <v/>
      </c>
      <c r="C505" s="39">
        <f>IF($J505="","",INDEX(Tarifa!$B$13:$B$512,$J505)&amp;"")</f>
        <v/>
      </c>
      <c r="D505" s="39">
        <f>IF($J505="","",INDEX(Tarifa!$C$13:$C$512,$J505)&amp;"")</f>
        <v/>
      </c>
      <c r="E505" s="40">
        <f>IF($J505="","",IF(INDEX(Tarifa!$D$13:$D$512,$J505)="","",INDEX(Tarifa!$D$13:$D$512,$J505)))</f>
        <v/>
      </c>
      <c r="F505" s="41">
        <f>IF(OR($J505="",$J$1=""),"",IF(INDEX(Tarifa!$G$13:$G$512,$J505)="","",IF(NOT(ISNUMBER(INDEX(Tarifa!$G$13:$G$512,$J505))),"Revisa",IF($J$1=1,INDEX(Tarifa!$G$13:$G$512,$J505),ROUND(ROUND(INDEX(Tarifa!$G$13:$G$512,$J505)*(1+$J$2/100)/$J$3,0)*$J$3,2)))))</f>
        <v/>
      </c>
      <c r="G505" s="42">
        <f>IF(OR(NOT(ISNUMBER(F505)),N(E505)&lt;=1),"",ROUND(F505/E505,3))</f>
        <v/>
      </c>
      <c r="H505" s="43">
        <f>IF($J505="","",IF(INDEX(Tarifa!$H$13:$H$512,$J505)="","",INDEX(Tarifa!$H$13:$H$512,$J505)))</f>
        <v/>
      </c>
      <c r="I505" s="41">
        <f>IF(OR($M$3="No",$M$3="",NOT(ISNUMBER(F505))),"",IF(NOT(ISNUMBER(H505)),"Falta IVA",ROUND(F505*(1+(H505+IF($M$3="Con IVA y recargo",IF(H505=21,5.2,IF(H505=10,1.4,IF(H505=4,0.5,0))),0))/100),2)))</f>
        <v/>
      </c>
      <c r="J505">
        <f>IFERROR(MATCH(495,Tarifa!$O$13:$O$512,0),"")</f>
        <v/>
      </c>
    </row>
    <row r="506" ht="17" customHeight="1">
      <c r="A506" s="38">
        <f>IF($J506="","",IFERROR(IF(INDEX(Tarifa!$E$13:$E$512,$J506)&amp;""=INDEX(Tarifa!$E$13:$E$512,$J505)&amp;"","",INDEX(Tarifa!$E$13:$E$512,$J506)&amp;""),""))</f>
        <v/>
      </c>
      <c r="B506" s="39">
        <f>IF($J506="","",INDEX(Tarifa!$A$13:$A$512,$J506)&amp;"")</f>
        <v/>
      </c>
      <c r="C506" s="39">
        <f>IF($J506="","",INDEX(Tarifa!$B$13:$B$512,$J506)&amp;"")</f>
        <v/>
      </c>
      <c r="D506" s="39">
        <f>IF($J506="","",INDEX(Tarifa!$C$13:$C$512,$J506)&amp;"")</f>
        <v/>
      </c>
      <c r="E506" s="40">
        <f>IF($J506="","",IF(INDEX(Tarifa!$D$13:$D$512,$J506)="","",INDEX(Tarifa!$D$13:$D$512,$J506)))</f>
        <v/>
      </c>
      <c r="F506" s="41">
        <f>IF(OR($J506="",$J$1=""),"",IF(INDEX(Tarifa!$G$13:$G$512,$J506)="","",IF(NOT(ISNUMBER(INDEX(Tarifa!$G$13:$G$512,$J506))),"Revisa",IF($J$1=1,INDEX(Tarifa!$G$13:$G$512,$J506),ROUND(ROUND(INDEX(Tarifa!$G$13:$G$512,$J506)*(1+$J$2/100)/$J$3,0)*$J$3,2)))))</f>
        <v/>
      </c>
      <c r="G506" s="42">
        <f>IF(OR(NOT(ISNUMBER(F506)),N(E506)&lt;=1),"",ROUND(F506/E506,3))</f>
        <v/>
      </c>
      <c r="H506" s="43">
        <f>IF($J506="","",IF(INDEX(Tarifa!$H$13:$H$512,$J506)="","",INDEX(Tarifa!$H$13:$H$512,$J506)))</f>
        <v/>
      </c>
      <c r="I506" s="41">
        <f>IF(OR($M$3="No",$M$3="",NOT(ISNUMBER(F506))),"",IF(NOT(ISNUMBER(H506)),"Falta IVA",ROUND(F506*(1+(H506+IF($M$3="Con IVA y recargo",IF(H506=21,5.2,IF(H506=10,1.4,IF(H506=4,0.5,0))),0))/100),2)))</f>
        <v/>
      </c>
      <c r="J506">
        <f>IFERROR(MATCH(496,Tarifa!$O$13:$O$512,0),"")</f>
        <v/>
      </c>
    </row>
    <row r="507" ht="17" customHeight="1">
      <c r="A507" s="38">
        <f>IF($J507="","",IFERROR(IF(INDEX(Tarifa!$E$13:$E$512,$J507)&amp;""=INDEX(Tarifa!$E$13:$E$512,$J506)&amp;"","",INDEX(Tarifa!$E$13:$E$512,$J507)&amp;""),""))</f>
        <v/>
      </c>
      <c r="B507" s="39">
        <f>IF($J507="","",INDEX(Tarifa!$A$13:$A$512,$J507)&amp;"")</f>
        <v/>
      </c>
      <c r="C507" s="39">
        <f>IF($J507="","",INDEX(Tarifa!$B$13:$B$512,$J507)&amp;"")</f>
        <v/>
      </c>
      <c r="D507" s="39">
        <f>IF($J507="","",INDEX(Tarifa!$C$13:$C$512,$J507)&amp;"")</f>
        <v/>
      </c>
      <c r="E507" s="40">
        <f>IF($J507="","",IF(INDEX(Tarifa!$D$13:$D$512,$J507)="","",INDEX(Tarifa!$D$13:$D$512,$J507)))</f>
        <v/>
      </c>
      <c r="F507" s="41">
        <f>IF(OR($J507="",$J$1=""),"",IF(INDEX(Tarifa!$G$13:$G$512,$J507)="","",IF(NOT(ISNUMBER(INDEX(Tarifa!$G$13:$G$512,$J507))),"Revisa",IF($J$1=1,INDEX(Tarifa!$G$13:$G$512,$J507),ROUND(ROUND(INDEX(Tarifa!$G$13:$G$512,$J507)*(1+$J$2/100)/$J$3,0)*$J$3,2)))))</f>
        <v/>
      </c>
      <c r="G507" s="42">
        <f>IF(OR(NOT(ISNUMBER(F507)),N(E507)&lt;=1),"",ROUND(F507/E507,3))</f>
        <v/>
      </c>
      <c r="H507" s="43">
        <f>IF($J507="","",IF(INDEX(Tarifa!$H$13:$H$512,$J507)="","",INDEX(Tarifa!$H$13:$H$512,$J507)))</f>
        <v/>
      </c>
      <c r="I507" s="41">
        <f>IF(OR($M$3="No",$M$3="",NOT(ISNUMBER(F507))),"",IF(NOT(ISNUMBER(H507)),"Falta IVA",ROUND(F507*(1+(H507+IF($M$3="Con IVA y recargo",IF(H507=21,5.2,IF(H507=10,1.4,IF(H507=4,0.5,0))),0))/100),2)))</f>
        <v/>
      </c>
      <c r="J507">
        <f>IFERROR(MATCH(497,Tarifa!$O$13:$O$512,0),"")</f>
        <v/>
      </c>
    </row>
    <row r="508" ht="17" customHeight="1">
      <c r="A508" s="38">
        <f>IF($J508="","",IFERROR(IF(INDEX(Tarifa!$E$13:$E$512,$J508)&amp;""=INDEX(Tarifa!$E$13:$E$512,$J507)&amp;"","",INDEX(Tarifa!$E$13:$E$512,$J508)&amp;""),""))</f>
        <v/>
      </c>
      <c r="B508" s="39">
        <f>IF($J508="","",INDEX(Tarifa!$A$13:$A$512,$J508)&amp;"")</f>
        <v/>
      </c>
      <c r="C508" s="39">
        <f>IF($J508="","",INDEX(Tarifa!$B$13:$B$512,$J508)&amp;"")</f>
        <v/>
      </c>
      <c r="D508" s="39">
        <f>IF($J508="","",INDEX(Tarifa!$C$13:$C$512,$J508)&amp;"")</f>
        <v/>
      </c>
      <c r="E508" s="40">
        <f>IF($J508="","",IF(INDEX(Tarifa!$D$13:$D$512,$J508)="","",INDEX(Tarifa!$D$13:$D$512,$J508)))</f>
        <v/>
      </c>
      <c r="F508" s="41">
        <f>IF(OR($J508="",$J$1=""),"",IF(INDEX(Tarifa!$G$13:$G$512,$J508)="","",IF(NOT(ISNUMBER(INDEX(Tarifa!$G$13:$G$512,$J508))),"Revisa",IF($J$1=1,INDEX(Tarifa!$G$13:$G$512,$J508),ROUND(ROUND(INDEX(Tarifa!$G$13:$G$512,$J508)*(1+$J$2/100)/$J$3,0)*$J$3,2)))))</f>
        <v/>
      </c>
      <c r="G508" s="42">
        <f>IF(OR(NOT(ISNUMBER(F508)),N(E508)&lt;=1),"",ROUND(F508/E508,3))</f>
        <v/>
      </c>
      <c r="H508" s="43">
        <f>IF($J508="","",IF(INDEX(Tarifa!$H$13:$H$512,$J508)="","",INDEX(Tarifa!$H$13:$H$512,$J508)))</f>
        <v/>
      </c>
      <c r="I508" s="41">
        <f>IF(OR($M$3="No",$M$3="",NOT(ISNUMBER(F508))),"",IF(NOT(ISNUMBER(H508)),"Falta IVA",ROUND(F508*(1+(H508+IF($M$3="Con IVA y recargo",IF(H508=21,5.2,IF(H508=10,1.4,IF(H508=4,0.5,0))),0))/100),2)))</f>
        <v/>
      </c>
      <c r="J508">
        <f>IFERROR(MATCH(498,Tarifa!$O$13:$O$512,0),"")</f>
        <v/>
      </c>
    </row>
    <row r="509" ht="17" customHeight="1">
      <c r="A509" s="38">
        <f>IF($J509="","",IFERROR(IF(INDEX(Tarifa!$E$13:$E$512,$J509)&amp;""=INDEX(Tarifa!$E$13:$E$512,$J508)&amp;"","",INDEX(Tarifa!$E$13:$E$512,$J509)&amp;""),""))</f>
        <v/>
      </c>
      <c r="B509" s="39">
        <f>IF($J509="","",INDEX(Tarifa!$A$13:$A$512,$J509)&amp;"")</f>
        <v/>
      </c>
      <c r="C509" s="39">
        <f>IF($J509="","",INDEX(Tarifa!$B$13:$B$512,$J509)&amp;"")</f>
        <v/>
      </c>
      <c r="D509" s="39">
        <f>IF($J509="","",INDEX(Tarifa!$C$13:$C$512,$J509)&amp;"")</f>
        <v/>
      </c>
      <c r="E509" s="40">
        <f>IF($J509="","",IF(INDEX(Tarifa!$D$13:$D$512,$J509)="","",INDEX(Tarifa!$D$13:$D$512,$J509)))</f>
        <v/>
      </c>
      <c r="F509" s="41">
        <f>IF(OR($J509="",$J$1=""),"",IF(INDEX(Tarifa!$G$13:$G$512,$J509)="","",IF(NOT(ISNUMBER(INDEX(Tarifa!$G$13:$G$512,$J509))),"Revisa",IF($J$1=1,INDEX(Tarifa!$G$13:$G$512,$J509),ROUND(ROUND(INDEX(Tarifa!$G$13:$G$512,$J509)*(1+$J$2/100)/$J$3,0)*$J$3,2)))))</f>
        <v/>
      </c>
      <c r="G509" s="42">
        <f>IF(OR(NOT(ISNUMBER(F509)),N(E509)&lt;=1),"",ROUND(F509/E509,3))</f>
        <v/>
      </c>
      <c r="H509" s="43">
        <f>IF($J509="","",IF(INDEX(Tarifa!$H$13:$H$512,$J509)="","",INDEX(Tarifa!$H$13:$H$512,$J509)))</f>
        <v/>
      </c>
      <c r="I509" s="41">
        <f>IF(OR($M$3="No",$M$3="",NOT(ISNUMBER(F509))),"",IF(NOT(ISNUMBER(H509)),"Falta IVA",ROUND(F509*(1+(H509+IF($M$3="Con IVA y recargo",IF(H509=21,5.2,IF(H509=10,1.4,IF(H509=4,0.5,0))),0))/100),2)))</f>
        <v/>
      </c>
      <c r="J509">
        <f>IFERROR(MATCH(499,Tarifa!$O$13:$O$512,0),"")</f>
        <v/>
      </c>
    </row>
    <row r="510" ht="17" customHeight="1">
      <c r="A510" s="38">
        <f>IF($J510="","",IFERROR(IF(INDEX(Tarifa!$E$13:$E$512,$J510)&amp;""=INDEX(Tarifa!$E$13:$E$512,$J509)&amp;"","",INDEX(Tarifa!$E$13:$E$512,$J510)&amp;""),""))</f>
        <v/>
      </c>
      <c r="B510" s="39">
        <f>IF($J510="","",INDEX(Tarifa!$A$13:$A$512,$J510)&amp;"")</f>
        <v/>
      </c>
      <c r="C510" s="39">
        <f>IF($J510="","",INDEX(Tarifa!$B$13:$B$512,$J510)&amp;"")</f>
        <v/>
      </c>
      <c r="D510" s="39">
        <f>IF($J510="","",INDEX(Tarifa!$C$13:$C$512,$J510)&amp;"")</f>
        <v/>
      </c>
      <c r="E510" s="40">
        <f>IF($J510="","",IF(INDEX(Tarifa!$D$13:$D$512,$J510)="","",INDEX(Tarifa!$D$13:$D$512,$J510)))</f>
        <v/>
      </c>
      <c r="F510" s="41">
        <f>IF(OR($J510="",$J$1=""),"",IF(INDEX(Tarifa!$G$13:$G$512,$J510)="","",IF(NOT(ISNUMBER(INDEX(Tarifa!$G$13:$G$512,$J510))),"Revisa",IF($J$1=1,INDEX(Tarifa!$G$13:$G$512,$J510),ROUND(ROUND(INDEX(Tarifa!$G$13:$G$512,$J510)*(1+$J$2/100)/$J$3,0)*$J$3,2)))))</f>
        <v/>
      </c>
      <c r="G510" s="42">
        <f>IF(OR(NOT(ISNUMBER(F510)),N(E510)&lt;=1),"",ROUND(F510/E510,3))</f>
        <v/>
      </c>
      <c r="H510" s="43">
        <f>IF($J510="","",IF(INDEX(Tarifa!$H$13:$H$512,$J510)="","",INDEX(Tarifa!$H$13:$H$512,$J510)))</f>
        <v/>
      </c>
      <c r="I510" s="41">
        <f>IF(OR($M$3="No",$M$3="",NOT(ISNUMBER(F510))),"",IF(NOT(ISNUMBER(H510)),"Falta IVA",ROUND(F510*(1+(H510+IF($M$3="Con IVA y recargo",IF(H510=21,5.2,IF(H510=10,1.4,IF(H510=4,0.5,0))),0))/100),2)))</f>
        <v/>
      </c>
      <c r="J510">
        <f>IFERROR(MATCH(500,Tarifa!$O$13:$O$512,0),"")</f>
        <v/>
      </c>
    </row>
  </sheetData>
  <sheetProtection selectLockedCells="0" selectUnlockedCells="0" sheet="1" objects="0" insertRows="1" insertHyperlinks="1" autoFilter="1" scenarios="0" formatColumns="0" deleteColumns="1" insertColumns="1" pivotTables="1" deleteRows="1" formatCells="0" formatRows="0" sort="1"/>
  <mergeCells count="18">
    <mergeCell ref="A2:F2"/>
    <mergeCell ref="L9:M10"/>
    <mergeCell ref="H2:I2"/>
    <mergeCell ref="A7:B7"/>
    <mergeCell ref="A1:F1"/>
    <mergeCell ref="C8:I8"/>
    <mergeCell ref="H1:I1"/>
    <mergeCell ref="A5:B5"/>
    <mergeCell ref="L1:M1"/>
    <mergeCell ref="L5:M7"/>
    <mergeCell ref="A9:I9"/>
    <mergeCell ref="C6:I6"/>
    <mergeCell ref="C7:I7"/>
    <mergeCell ref="A3:F3"/>
    <mergeCell ref="A8:B8"/>
    <mergeCell ref="A4:I4"/>
    <mergeCell ref="A6:B6"/>
    <mergeCell ref="C5:I5"/>
  </mergeCells>
  <conditionalFormatting sqref="A11:I510">
    <cfRule type="expression" priority="1" dxfId="2">
      <formula>$J11&lt;&gt;""</formula>
    </cfRule>
  </conditionalFormatting>
  <conditionalFormatting sqref="F11:I510">
    <cfRule type="expression" priority="2" dxfId="1">
      <formula>OR(F11="Revisa",F11="Falta IVA")</formula>
    </cfRule>
  </conditionalFormatting>
  <dataValidations count="2">
    <dataValidation sqref="M2" showDropDown="0" showInputMessage="0" showErrorMessage="1" allowBlank="0" errorTitle="Tarifa" error="Elige una tarifa de la lista." type="list">
      <formula1>Tarifa!$H$7:$H$10</formula1>
    </dataValidation>
    <dataValidation sqref="M3" showDropDown="0" showInputMessage="0" showErrorMessage="1" allowBlank="0" errorTitle="Precio con impuestos" error="Elige No, Con IVA o Con IVA y recargo." type="list">
      <formula1>"No,Con IVA,Con IVA y recargo"</formula1>
    </dataValidation>
  </dataValidations>
  <printOptions horizontalCentered="1"/>
  <pageMargins left="0.4" right="0.4" top="0.5" bottom="0.5" header="0.5" footer="0.5"/>
  <pageSetup orientation="portrait" paperSize="9" fitToHeight="0" fitToWidth="1"/>
  <headerFooter>
    <oddHeader/>
    <oddFooter>&amp;L&amp;7 Plantilla gratuita de PeasyOrders · peasyorders.com&amp;R&amp;8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PeasyOrders</dc:creator>
  <dc:title xmlns:dc="http://purl.org/dc/elements/1.1/">Plantilla de tarifa de precios mayorista</dc:title>
  <dcterms:created xmlns:dcterms="http://purl.org/dc/terms/" xmlns:xsi="http://www.w3.org/2001/XMLSchema-instance" xsi:type="dcterms:W3CDTF">2026-10-05T16:12:48Z</dcterms:created>
  <dcterms:modified xmlns:dcterms="http://purl.org/dc/terms/" xmlns:xsi="http://www.w3.org/2001/XMLSchema-instance" xsi:type="dcterms:W3CDTF">2026-10-05T16:12:49Z</dcterms:modified>
</cp:coreProperties>
</file>